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315" windowWidth="19440" windowHeight="7755"/>
  </bookViews>
  <sheets>
    <sheet name="User Guide" sheetId="9" r:id="rId1"/>
    <sheet name="Demand" sheetId="5" r:id="rId2"/>
    <sheet name="Cost" sheetId="8" r:id="rId3"/>
    <sheet name="Emissions" sheetId="13" r:id="rId4"/>
    <sheet name="Efficiencies" sheetId="11" r:id="rId5"/>
    <sheet name="Output Matrix" sheetId="2" r:id="rId6"/>
    <sheet name="ExergyData" sheetId="10" state="hidden" r:id="rId7"/>
    <sheet name="Cost Data" sheetId="12" state="hidden" r:id="rId8"/>
    <sheet name="Demand Data" sheetId="14" state="hidden" r:id="rId9"/>
  </sheets>
  <externalReferences>
    <externalReference r:id="rId10"/>
  </externalReferences>
  <definedNames>
    <definedName name="boilertypes" localSheetId="3">[1]ExergyData!$J$2:$J$3</definedName>
    <definedName name="boilertypes">ExergyData!$J$2:$J$3</definedName>
    <definedName name="boilmain">'Cost Data'!$A$14:$B$16</definedName>
    <definedName name="CHPMain">'Cost Data'!$D$19:$E$21</definedName>
    <definedName name="chpmaint" localSheetId="3">'[1]Cost Data'!$D$20:$E$21</definedName>
    <definedName name="chpmaint">'Cost Data'!$D$20:$E$21</definedName>
    <definedName name="Districts" localSheetId="3">[1]ExergyData!$F$20:$F$22</definedName>
    <definedName name="Districts">ExergyData!$F$20:$F$22</definedName>
    <definedName name="Efficiencies" localSheetId="3">[1]ExergyData!$A$1:$D$25</definedName>
    <definedName name="Efficiencies">ExergyData!$A$1:$D$25</definedName>
    <definedName name="efficiency">ExergyData!$C$2:$D$13</definedName>
    <definedName name="eleccost" localSheetId="3">'[1]Cost Data'!$B$1:$C$8</definedName>
    <definedName name="eleccost">'Cost Data'!$B$1:$C$8</definedName>
    <definedName name="energyindex">ExergyData!$I$24:$N$32</definedName>
    <definedName name="energymix" localSheetId="3">[1]ExergyData!$K$2:$K$5</definedName>
    <definedName name="energymix">ExergyData!$K$2:$K$5</definedName>
    <definedName name="etable">ExergyData!$B$1:$D$12</definedName>
    <definedName name="gascost" localSheetId="3">'[1]Cost Data'!$H$1:$I$6</definedName>
    <definedName name="gascost">'Cost Data'!$H$1:$I$6</definedName>
    <definedName name="Index" localSheetId="3">[1]ExergyData!$I$10:$N$21</definedName>
    <definedName name="Index">ExergyData!$I$10:$N$21</definedName>
    <definedName name="Region">'Demand Data'!$B$14:$B$31</definedName>
    <definedName name="regionals">'Demand Data'!$B$14:$C$31</definedName>
  </definedNames>
  <calcPr calcId="125725" iterate="1"/>
</workbook>
</file>

<file path=xl/calcChain.xml><?xml version="1.0" encoding="utf-8"?>
<calcChain xmlns="http://schemas.openxmlformats.org/spreadsheetml/2006/main">
  <c r="B2" i="8"/>
  <c r="U17" i="14"/>
  <c r="U18"/>
  <c r="U19"/>
  <c r="U20"/>
  <c r="U21"/>
  <c r="U22"/>
  <c r="U16"/>
  <c r="U15"/>
  <c r="U10"/>
  <c r="U9"/>
  <c r="U8"/>
  <c r="U7"/>
  <c r="U6"/>
  <c r="U5"/>
  <c r="U4"/>
  <c r="S16"/>
  <c r="S17"/>
  <c r="S18"/>
  <c r="S19"/>
  <c r="S20"/>
  <c r="S21"/>
  <c r="S22"/>
  <c r="S15"/>
  <c r="Q16"/>
  <c r="Q17"/>
  <c r="Q18"/>
  <c r="Q19"/>
  <c r="Q20"/>
  <c r="Q21"/>
  <c r="Q22"/>
  <c r="Q15"/>
  <c r="A10" i="13"/>
  <c r="A7"/>
  <c r="A4"/>
  <c r="F19"/>
  <c r="P32" i="14"/>
  <c r="Q32"/>
  <c r="P31"/>
  <c r="Q31"/>
  <c r="F47"/>
  <c r="F48"/>
  <c r="F49"/>
  <c r="F50"/>
  <c r="F51"/>
  <c r="F52"/>
  <c r="F53"/>
  <c r="F54"/>
  <c r="F55"/>
  <c r="F56"/>
  <c r="E56"/>
  <c r="E47"/>
  <c r="E48"/>
  <c r="E49"/>
  <c r="E50"/>
  <c r="E51"/>
  <c r="E52"/>
  <c r="E53"/>
  <c r="E54"/>
  <c r="E55"/>
  <c r="F46"/>
  <c r="E46"/>
  <c r="D47"/>
  <c r="D48"/>
  <c r="D49"/>
  <c r="D50"/>
  <c r="D51"/>
  <c r="D52"/>
  <c r="D53"/>
  <c r="D54"/>
  <c r="D55"/>
  <c r="D56"/>
  <c r="D46"/>
  <c r="U3"/>
  <c r="S4"/>
  <c r="S5"/>
  <c r="S6"/>
  <c r="S7"/>
  <c r="S8"/>
  <c r="S9"/>
  <c r="S10"/>
  <c r="S3"/>
  <c r="Q4"/>
  <c r="Q5"/>
  <c r="Q6"/>
  <c r="Q7"/>
  <c r="Q8"/>
  <c r="Q9"/>
  <c r="Q10"/>
  <c r="Q3"/>
  <c r="O16"/>
  <c r="O17"/>
  <c r="V17"/>
  <c r="O18"/>
  <c r="V18"/>
  <c r="O19"/>
  <c r="V19"/>
  <c r="O20"/>
  <c r="O21"/>
  <c r="V21"/>
  <c r="O22"/>
  <c r="V22"/>
  <c r="O15"/>
  <c r="V15"/>
  <c r="O4"/>
  <c r="O5"/>
  <c r="O6"/>
  <c r="O7"/>
  <c r="O8"/>
  <c r="O9"/>
  <c r="O10"/>
  <c r="V10"/>
  <c r="O3"/>
  <c r="V8"/>
  <c r="J4"/>
  <c r="J5"/>
  <c r="J6"/>
  <c r="J7"/>
  <c r="J8"/>
  <c r="J9"/>
  <c r="J10"/>
  <c r="J3"/>
  <c r="H4"/>
  <c r="H5"/>
  <c r="H6"/>
  <c r="H7"/>
  <c r="H8"/>
  <c r="H9"/>
  <c r="H10"/>
  <c r="H3"/>
  <c r="F4"/>
  <c r="F5"/>
  <c r="F6"/>
  <c r="F7"/>
  <c r="F8"/>
  <c r="F9"/>
  <c r="F10"/>
  <c r="F3"/>
  <c r="D4"/>
  <c r="K4"/>
  <c r="D5"/>
  <c r="D6"/>
  <c r="D7"/>
  <c r="K7"/>
  <c r="D8"/>
  <c r="D9"/>
  <c r="K9"/>
  <c r="D10"/>
  <c r="D3"/>
  <c r="K3"/>
  <c r="L27" i="5"/>
  <c r="K27"/>
  <c r="J27"/>
  <c r="V6" i="14"/>
  <c r="K10"/>
  <c r="V3"/>
  <c r="V4"/>
  <c r="V20"/>
  <c r="V16"/>
  <c r="K5"/>
  <c r="V7"/>
  <c r="V9"/>
  <c r="V5"/>
  <c r="D57"/>
  <c r="K8"/>
  <c r="K6"/>
  <c r="F57"/>
  <c r="E57"/>
  <c r="F22" i="10"/>
  <c r="F21"/>
  <c r="F20"/>
  <c r="J2" i="8"/>
  <c r="F2"/>
  <c r="V23" i="14"/>
  <c r="L28" i="5"/>
  <c r="L31"/>
  <c r="V11" i="14"/>
  <c r="K28" i="5"/>
  <c r="K31"/>
  <c r="K11" i="14"/>
  <c r="J28" i="5"/>
  <c r="J31"/>
  <c r="H2" i="2"/>
  <c r="H9" i="11"/>
  <c r="H10"/>
  <c r="F9"/>
  <c r="F10"/>
  <c r="D9"/>
  <c r="D11"/>
  <c r="B9"/>
  <c r="B10"/>
  <c r="M19" i="10"/>
  <c r="N19"/>
  <c r="K19"/>
  <c r="M18"/>
  <c r="N18"/>
  <c r="K18"/>
  <c r="M17"/>
  <c r="N17"/>
  <c r="K17"/>
  <c r="M16"/>
  <c r="N16"/>
  <c r="K16"/>
  <c r="M15"/>
  <c r="N15"/>
  <c r="K15"/>
  <c r="M14"/>
  <c r="N14"/>
  <c r="K14"/>
  <c r="M13"/>
  <c r="N13"/>
  <c r="K13"/>
  <c r="M12"/>
  <c r="N12"/>
  <c r="K12"/>
  <c r="M11"/>
  <c r="N11"/>
  <c r="K11"/>
  <c r="M10"/>
  <c r="N10"/>
  <c r="K10"/>
  <c r="I8"/>
  <c r="L2" i="2"/>
  <c r="D2"/>
  <c r="K4" i="8"/>
  <c r="K15"/>
  <c r="J4"/>
  <c r="G4"/>
  <c r="G19"/>
  <c r="F4"/>
  <c r="F19"/>
  <c r="C4"/>
  <c r="C15"/>
  <c r="B4"/>
  <c r="B19"/>
  <c r="C10" i="13"/>
  <c r="H12"/>
  <c r="M4" i="8"/>
  <c r="M6"/>
  <c r="M20"/>
  <c r="J19"/>
  <c r="H11" i="13"/>
  <c r="L4" i="8"/>
  <c r="L6"/>
  <c r="D9" i="13"/>
  <c r="I4" i="8"/>
  <c r="I6"/>
  <c r="H9" i="13"/>
  <c r="H4" i="8"/>
  <c r="H19"/>
  <c r="H8" i="13"/>
  <c r="H6"/>
  <c r="H5"/>
  <c r="G10"/>
  <c r="E11"/>
  <c r="D12"/>
  <c r="D6"/>
  <c r="F6"/>
  <c r="G6"/>
  <c r="H4"/>
  <c r="E5"/>
  <c r="C4"/>
  <c r="E4" i="8"/>
  <c r="D4"/>
  <c r="F5" i="13"/>
  <c r="D4"/>
  <c r="E4"/>
  <c r="D5"/>
  <c r="C5"/>
  <c r="C6"/>
  <c r="F4"/>
  <c r="G4"/>
  <c r="G5"/>
  <c r="E6"/>
  <c r="F12"/>
  <c r="G11"/>
  <c r="C11"/>
  <c r="C12"/>
  <c r="F10"/>
  <c r="D10"/>
  <c r="E12"/>
  <c r="F11"/>
  <c r="H10"/>
  <c r="D11"/>
  <c r="E10"/>
  <c r="G12"/>
  <c r="C8"/>
  <c r="C9"/>
  <c r="F7"/>
  <c r="G7"/>
  <c r="D8"/>
  <c r="E9"/>
  <c r="G8"/>
  <c r="F9"/>
  <c r="C7"/>
  <c r="D7"/>
  <c r="H7"/>
  <c r="E7"/>
  <c r="F8"/>
  <c r="G9"/>
  <c r="E8"/>
  <c r="F11" i="11"/>
  <c r="H11"/>
  <c r="D10"/>
  <c r="I10"/>
  <c r="I17"/>
  <c r="B11"/>
  <c r="I18"/>
  <c r="J34" i="10"/>
  <c r="H7"/>
  <c r="J35"/>
  <c r="K17" i="11"/>
  <c r="L20" i="8"/>
  <c r="L19"/>
  <c r="K6"/>
  <c r="K20"/>
  <c r="M19"/>
  <c r="M21"/>
  <c r="M22"/>
  <c r="G15"/>
  <c r="F6"/>
  <c r="F20"/>
  <c r="F21"/>
  <c r="F22"/>
  <c r="G6"/>
  <c r="G20"/>
  <c r="E6"/>
  <c r="E20"/>
  <c r="H6"/>
  <c r="H20"/>
  <c r="H21"/>
  <c r="H22"/>
  <c r="K19"/>
  <c r="I19"/>
  <c r="J6"/>
  <c r="J20"/>
  <c r="J21"/>
  <c r="J22"/>
  <c r="I20"/>
  <c r="E19"/>
  <c r="B6"/>
  <c r="B20"/>
  <c r="B21"/>
  <c r="B22"/>
  <c r="D19"/>
  <c r="D6"/>
  <c r="D20"/>
  <c r="C19"/>
  <c r="C6"/>
  <c r="C20"/>
  <c r="I11" i="11"/>
  <c r="H6" i="10"/>
  <c r="J7"/>
  <c r="L17" i="11"/>
  <c r="K21" i="8"/>
  <c r="K22"/>
  <c r="L21"/>
  <c r="L22"/>
  <c r="D21"/>
  <c r="D22"/>
  <c r="G21"/>
  <c r="G22"/>
  <c r="E21"/>
  <c r="E22"/>
  <c r="I21"/>
  <c r="I22"/>
  <c r="C21"/>
  <c r="C22"/>
  <c r="J17" i="11"/>
  <c r="O5" i="2"/>
  <c r="O6"/>
  <c r="O11"/>
  <c r="D5"/>
  <c r="E5"/>
  <c r="F5"/>
  <c r="G5"/>
  <c r="H5"/>
  <c r="I5"/>
  <c r="J5"/>
  <c r="K5"/>
  <c r="L5"/>
  <c r="M5"/>
  <c r="N5"/>
  <c r="D6"/>
  <c r="E6"/>
  <c r="F6"/>
  <c r="G6"/>
  <c r="H6"/>
  <c r="I6"/>
  <c r="J6"/>
  <c r="K6"/>
  <c r="L6"/>
  <c r="M6"/>
  <c r="N6"/>
  <c r="D11"/>
  <c r="E11"/>
  <c r="F11"/>
  <c r="G11"/>
  <c r="H11"/>
  <c r="I11"/>
  <c r="J11"/>
  <c r="K11"/>
  <c r="L11"/>
  <c r="M11"/>
  <c r="N11"/>
</calcChain>
</file>

<file path=xl/sharedStrings.xml><?xml version="1.0" encoding="utf-8"?>
<sst xmlns="http://schemas.openxmlformats.org/spreadsheetml/2006/main" count="346" uniqueCount="217">
  <si>
    <t>All boxes in blue, user is to input data as follows:</t>
  </si>
  <si>
    <t>DISTRICT AND DEMAND DEFINITION</t>
  </si>
  <si>
    <t>District Name ----&gt;</t>
  </si>
  <si>
    <t>District 1</t>
  </si>
  <si>
    <t>District 2</t>
  </si>
  <si>
    <t>District 3</t>
  </si>
  <si>
    <t>Housing Age band:</t>
  </si>
  <si>
    <t>Property Type:</t>
  </si>
  <si>
    <t>Flat</t>
  </si>
  <si>
    <t>Terrace</t>
  </si>
  <si>
    <t>Semi-Detatched</t>
  </si>
  <si>
    <t>Detatched</t>
  </si>
  <si>
    <t>Pre 1917</t>
  </si>
  <si>
    <t>1918 - 1938</t>
  </si>
  <si>
    <t>1939 - 1959</t>
  </si>
  <si>
    <t>1960 - 1975</t>
  </si>
  <si>
    <t>1976 - 1982</t>
  </si>
  <si>
    <t>1983 - 1989</t>
  </si>
  <si>
    <t>1990 - 1999</t>
  </si>
  <si>
    <t>Post 2000</t>
  </si>
  <si>
    <t>Other Buildings in District:</t>
  </si>
  <si>
    <t>Total Floor
Area (m^2)</t>
  </si>
  <si>
    <t>Churches</t>
  </si>
  <si>
    <t>Community Hall</t>
  </si>
  <si>
    <t>Hospital</t>
  </si>
  <si>
    <t>Library</t>
  </si>
  <si>
    <t>Office</t>
  </si>
  <si>
    <t>Retail</t>
  </si>
  <si>
    <t>School</t>
  </si>
  <si>
    <t>Sports Centre</t>
  </si>
  <si>
    <t>Supermarket</t>
  </si>
  <si>
    <t>Swimming pool centre</t>
  </si>
  <si>
    <t>University</t>
  </si>
  <si>
    <t>Demand  kWhr/year</t>
  </si>
  <si>
    <t>Region</t>
  </si>
  <si>
    <t>West Scotland</t>
  </si>
  <si>
    <t>Additional/ Specific Demands kWhr/year</t>
  </si>
  <si>
    <t>Total Demand kWhr/yr</t>
  </si>
  <si>
    <t>COSTS</t>
  </si>
  <si>
    <t>Boiler</t>
  </si>
  <si>
    <t>CHP</t>
  </si>
  <si>
    <t>Electricity</t>
  </si>
  <si>
    <t>Renewable Electricity</t>
  </si>
  <si>
    <t>Energy supplied to system (kWh/yr) ------&gt;</t>
  </si>
  <si>
    <t>Inputs - Energy Prices</t>
  </si>
  <si>
    <t>Estimated buy price of fuel (p/kWh energy supplied)</t>
  </si>
  <si>
    <t>User input buy price of fuel (p/kWh energy supplied)</t>
  </si>
  <si>
    <t>Sell price of energy (p/kWh)</t>
  </si>
  <si>
    <t>Inputs - Finances</t>
  </si>
  <si>
    <t>Required repayment period (years)</t>
  </si>
  <si>
    <t>Interest on loan (%/100)</t>
  </si>
  <si>
    <t>Inputs - Maintenance Costs</t>
  </si>
  <si>
    <t>Estimated maintenance costs/year (£/kW)</t>
  </si>
  <si>
    <t>User input cost to maintain system/year (£/kW)</t>
  </si>
  <si>
    <t>Outputs:</t>
  </si>
  <si>
    <t>Gross profit (£/year)</t>
  </si>
  <si>
    <t>Net expenditure on fuel (£/year)</t>
  </si>
  <si>
    <t>Net profit (£/year)</t>
  </si>
  <si>
    <t>Maximum capital input possible (£k)</t>
  </si>
  <si>
    <t>EMISSIONS</t>
  </si>
  <si>
    <t>District Heating Energy Source:</t>
  </si>
  <si>
    <t>District</t>
  </si>
  <si>
    <t>Pollutant</t>
  </si>
  <si>
    <t>Natural Gas</t>
  </si>
  <si>
    <t>Biomass - Woodchips*</t>
  </si>
  <si>
    <t>Biomass - Woodchips (Actual)**</t>
  </si>
  <si>
    <t>Electrical Grid (Current Energy Mix)</t>
  </si>
  <si>
    <t>Electrical Grid (100% Wind Power)</t>
  </si>
  <si>
    <t xml:space="preserve">CHP </t>
  </si>
  <si>
    <t>CO2 (kg)</t>
  </si>
  <si>
    <t>CH4 (kg)</t>
  </si>
  <si>
    <t>N2O (kg)</t>
  </si>
  <si>
    <t>CO2(kg/kWh)</t>
  </si>
  <si>
    <t>CH4(kg/kWh)</t>
  </si>
  <si>
    <t>N2O(kg/kWh)</t>
  </si>
  <si>
    <t>Woodchip</t>
  </si>
  <si>
    <t>Woodchip (Actual Combustion)</t>
  </si>
  <si>
    <t>Electricty Grid (Current)</t>
  </si>
  <si>
    <t>Electricity (100% Wind Power)</t>
  </si>
  <si>
    <t>2012 Guidelines to Defra / DECC's GHG Conversion Factors for Company Reporting</t>
  </si>
  <si>
    <t>Produced by AEA for the Department of Energy and Climate Change (DECC)
and the Department for Environment, Food and Rural Affairs (Defra)</t>
  </si>
  <si>
    <t>Direct emissions of methane (CH4) and nitrous oxide (N2O), which are not absorbed in the biomass growth phase are not currently available.</t>
  </si>
  <si>
    <t>http://www.epa.gov/climateleadership/documents/emission-factors.pdf</t>
  </si>
  <si>
    <t>*"Biomass - Woodchips" Direct emissions of CO2 are set to 0 for biomass,since for this case it assumed all biomass material is regrown</t>
  </si>
  <si>
    <t>**''Biomass - Woochips (Actual)'' Actual emissions from combustion of biomass fuel without considering regrowth.</t>
  </si>
  <si>
    <t>EFFICIENCIES</t>
  </si>
  <si>
    <t>Source</t>
  </si>
  <si>
    <t>Transmission</t>
  </si>
  <si>
    <t>Storage</t>
  </si>
  <si>
    <t>Hardware</t>
  </si>
  <si>
    <t>Grid Electricity</t>
  </si>
  <si>
    <t>Wires</t>
  </si>
  <si>
    <t>Thermal Storage Water Tank 35degC</t>
  </si>
  <si>
    <t>Conventional Radiator</t>
  </si>
  <si>
    <t>Pipes</t>
  </si>
  <si>
    <t>Thermal Storage Water Tank 75degC</t>
  </si>
  <si>
    <t>Electrical Heater</t>
  </si>
  <si>
    <t>PCM Storage Heater</t>
  </si>
  <si>
    <t>Ground Source Heat Pump 3.4</t>
  </si>
  <si>
    <t>Battery</t>
  </si>
  <si>
    <t>Ground Source Heat Pump 1.68</t>
  </si>
  <si>
    <t>Total</t>
  </si>
  <si>
    <t xml:space="preserve">Energy </t>
  </si>
  <si>
    <t>Exergy</t>
  </si>
  <si>
    <t xml:space="preserve"> </t>
  </si>
  <si>
    <t>Boiler/CHP Fuel</t>
  </si>
  <si>
    <t>Fossil Fuels</t>
  </si>
  <si>
    <t>Grid Electricity Type</t>
  </si>
  <si>
    <t>Non-Thermal Renewables</t>
  </si>
  <si>
    <t>Energy Efficiency</t>
  </si>
  <si>
    <t>Exergy Efficiency</t>
  </si>
  <si>
    <t>Energy Index</t>
  </si>
  <si>
    <t>Exergy Index</t>
  </si>
  <si>
    <t>OUTPUT MATRIX</t>
  </si>
  <si>
    <t>Criteria</t>
  </si>
  <si>
    <t>Weighting (%)</t>
  </si>
  <si>
    <t>Cost</t>
  </si>
  <si>
    <t>Emissions</t>
  </si>
  <si>
    <t>Impacts</t>
  </si>
  <si>
    <t>End User Cost</t>
  </si>
  <si>
    <t>Income + Subsidies</t>
  </si>
  <si>
    <t>Average</t>
  </si>
  <si>
    <t>Label</t>
  </si>
  <si>
    <t>Technology</t>
  </si>
  <si>
    <r>
      <t xml:space="preserve">Energy Efficency </t>
    </r>
    <r>
      <rPr>
        <b/>
        <sz val="11"/>
        <color theme="1"/>
        <rFont val="Calibri"/>
        <family val="2"/>
      </rPr>
      <t>Ƞ</t>
    </r>
  </si>
  <si>
    <r>
      <t xml:space="preserve">Exergy Efficiency </t>
    </r>
    <r>
      <rPr>
        <b/>
        <sz val="11"/>
        <color theme="1"/>
        <rFont val="Calibri"/>
        <family val="2"/>
      </rPr>
      <t>Ψ</t>
    </r>
  </si>
  <si>
    <t>Boiler Energy Types</t>
  </si>
  <si>
    <t>Energy Mix</t>
  </si>
  <si>
    <t>F</t>
  </si>
  <si>
    <t xml:space="preserve">Thermal Energy Store, Water Tank (fluid heat exchanger) (35degC) </t>
  </si>
  <si>
    <t>Current (~fossil fuel)</t>
  </si>
  <si>
    <t>G</t>
  </si>
  <si>
    <t>Thermal Energy Store, Water Tank (fluid heat exchanger) (75degC)</t>
  </si>
  <si>
    <t>Biofuel</t>
  </si>
  <si>
    <t>50:50 mix</t>
  </si>
  <si>
    <t>A</t>
  </si>
  <si>
    <t>Fossil Fuel Electricity Generation</t>
  </si>
  <si>
    <t>No Fossil, Combustion Based</t>
  </si>
  <si>
    <t>L</t>
  </si>
  <si>
    <t>Fossil Fuel Electricity to Heat</t>
  </si>
  <si>
    <t>N</t>
  </si>
  <si>
    <t>GSHP System (COP 3.4) Product exergy/Fuel exergy</t>
  </si>
  <si>
    <t>exergy</t>
  </si>
  <si>
    <t>O</t>
  </si>
  <si>
    <t>GSHP System (COP 1.68) Product exergy/Fuel exergy</t>
  </si>
  <si>
    <t>energy</t>
  </si>
  <si>
    <t>index</t>
  </si>
  <si>
    <t>B</t>
  </si>
  <si>
    <t>Fuel Based District boiler</t>
  </si>
  <si>
    <t>D</t>
  </si>
  <si>
    <t>Fossil Index</t>
  </si>
  <si>
    <t>BioFuel</t>
  </si>
  <si>
    <t>50/50</t>
  </si>
  <si>
    <t>Thermal Renew</t>
  </si>
  <si>
    <t>Renew</t>
  </si>
  <si>
    <t>E</t>
  </si>
  <si>
    <t>Pipe Losses</t>
  </si>
  <si>
    <t>I</t>
  </si>
  <si>
    <t>H</t>
  </si>
  <si>
    <t>PCM material</t>
  </si>
  <si>
    <t>C</t>
  </si>
  <si>
    <t>CHP Unit</t>
  </si>
  <si>
    <t>K</t>
  </si>
  <si>
    <t>Radiator</t>
  </si>
  <si>
    <t>Energy</t>
  </si>
  <si>
    <t>Index</t>
  </si>
  <si>
    <t>Size kWh</t>
  </si>
  <si>
    <t>Cost p/kWh</t>
  </si>
  <si>
    <t>Gas</t>
  </si>
  <si>
    <t>Very Small</t>
  </si>
  <si>
    <t>Small</t>
  </si>
  <si>
    <t>Small/Medium</t>
  </si>
  <si>
    <t>Medium</t>
  </si>
  <si>
    <t>Large</t>
  </si>
  <si>
    <t>Very Large</t>
  </si>
  <si>
    <t>Extra Large</t>
  </si>
  <si>
    <t>Maintenance £/kW</t>
  </si>
  <si>
    <t>Biomass</t>
  </si>
  <si>
    <t>Size kWe</t>
  </si>
  <si>
    <t>Maintenance £/kWe</t>
  </si>
  <si>
    <t>Size kWth</t>
  </si>
  <si>
    <t>Maintenance £/kWth</t>
  </si>
  <si>
    <t>Single Dwelling Heat and Hot water requirement/year (Kwh)</t>
  </si>
  <si>
    <t>Dist1 House</t>
  </si>
  <si>
    <t>Dist2 House</t>
  </si>
  <si>
    <t>Age band</t>
  </si>
  <si>
    <t>Weather correction factors by region</t>
  </si>
  <si>
    <t>Difference (%)</t>
  </si>
  <si>
    <t>Dist3 House</t>
  </si>
  <si>
    <t>Thames</t>
  </si>
  <si>
    <t>South East England</t>
  </si>
  <si>
    <t>Southern England</t>
  </si>
  <si>
    <t>South West England</t>
  </si>
  <si>
    <t>Severn</t>
  </si>
  <si>
    <t>Midlands</t>
  </si>
  <si>
    <t>West Pennines</t>
  </si>
  <si>
    <t>NW England / SW Scotland</t>
  </si>
  <si>
    <t>Borders</t>
  </si>
  <si>
    <t>North East England</t>
  </si>
  <si>
    <t>East Pennines</t>
  </si>
  <si>
    <t>East Anglia</t>
  </si>
  <si>
    <t>East Scotland</t>
  </si>
  <si>
    <t>Wales</t>
  </si>
  <si>
    <t>Northern Ireland</t>
  </si>
  <si>
    <t>g/mmbtu</t>
  </si>
  <si>
    <t>kg/mmbtu</t>
  </si>
  <si>
    <t>kg/kWh</t>
  </si>
  <si>
    <t>North West Scotland</t>
  </si>
  <si>
    <t>ch4</t>
  </si>
  <si>
    <t>n2o</t>
  </si>
  <si>
    <t>http://www.cse.org.uk/thesource/download/assessing-the-heat-demand-of-a-whole-community-exercise-planlocal-80</t>
  </si>
  <si>
    <t>https://www.gov.uk/government/uploads/system/uploads/attachment_data/file/379052/EED_regs_-_benchmark_heat_demand_paper_-_261114_.pdf</t>
  </si>
  <si>
    <t>http://shrinkthatfootprint.com/how-much-heating-energy-do-you-use</t>
  </si>
  <si>
    <t>Other building heat and hot water requirement/year (Kwh/m2)</t>
  </si>
  <si>
    <t>dist1</t>
  </si>
  <si>
    <t>dist2</t>
  </si>
  <si>
    <t>dist3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</si>
</sst>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_-[$€-2]* #,##0.00_-;\-[$€-2]* #,##0.00_-;_-[$€-2]* &quot;-&quot;??_-"/>
    <numFmt numFmtId="166" formatCode="0.0"/>
  </numFmts>
  <fonts count="36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161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3"/>
      <name val="Calibri"/>
      <family val="2"/>
      <charset val="161"/>
      <scheme val="minor"/>
    </font>
    <font>
      <i/>
      <sz val="11"/>
      <color theme="0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charset val="161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8" fillId="0" borderId="0"/>
    <xf numFmtId="165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" fillId="0" borderId="0"/>
    <xf numFmtId="0" fontId="2" fillId="0" borderId="0"/>
    <xf numFmtId="0" fontId="2" fillId="0" borderId="0"/>
    <xf numFmtId="0" fontId="28" fillId="0" borderId="0"/>
  </cellStyleXfs>
  <cellXfs count="302">
    <xf numFmtId="0" fontId="0" fillId="0" borderId="0" xfId="0"/>
    <xf numFmtId="0" fontId="0" fillId="0" borderId="15" xfId="0" applyBorder="1"/>
    <xf numFmtId="0" fontId="0" fillId="0" borderId="16" xfId="0" applyBorder="1"/>
    <xf numFmtId="0" fontId="0" fillId="0" borderId="22" xfId="0" applyFont="1" applyBorder="1"/>
    <xf numFmtId="0" fontId="0" fillId="0" borderId="18" xfId="0" applyFont="1" applyBorder="1"/>
    <xf numFmtId="3" fontId="0" fillId="0" borderId="18" xfId="0" applyNumberFormat="1" applyFont="1" applyBorder="1"/>
    <xf numFmtId="0" fontId="0" fillId="0" borderId="18" xfId="0" applyBorder="1" applyAlignment="1">
      <alignment horizontal="center"/>
    </xf>
    <xf numFmtId="0" fontId="0" fillId="0" borderId="23" xfId="0" applyFont="1" applyBorder="1"/>
    <xf numFmtId="0" fontId="0" fillId="0" borderId="20" xfId="0" applyFont="1" applyBorder="1"/>
    <xf numFmtId="0" fontId="0" fillId="0" borderId="20" xfId="0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0" fillId="0" borderId="21" xfId="0" applyFont="1" applyBorder="1"/>
    <xf numFmtId="0" fontId="0" fillId="0" borderId="24" xfId="0" applyFont="1" applyBorder="1"/>
    <xf numFmtId="0" fontId="23" fillId="0" borderId="12" xfId="0" applyFont="1" applyBorder="1"/>
    <xf numFmtId="0" fontId="23" fillId="0" borderId="13" xfId="0" applyFont="1" applyBorder="1" applyAlignment="1">
      <alignment horizontal="left"/>
    </xf>
    <xf numFmtId="0" fontId="23" fillId="33" borderId="15" xfId="0" applyFont="1" applyFill="1" applyBorder="1" applyAlignment="1">
      <alignment horizontal="center"/>
    </xf>
    <xf numFmtId="0" fontId="0" fillId="35" borderId="0" xfId="0" applyFill="1"/>
    <xf numFmtId="0" fontId="23" fillId="0" borderId="25" xfId="44" applyFont="1" applyFill="1" applyBorder="1"/>
    <xf numFmtId="0" fontId="23" fillId="0" borderId="26" xfId="44" applyFont="1" applyBorder="1"/>
    <xf numFmtId="0" fontId="4" fillId="0" borderId="0" xfId="44"/>
    <xf numFmtId="0" fontId="23" fillId="0" borderId="0" xfId="44" applyFont="1"/>
    <xf numFmtId="0" fontId="4" fillId="0" borderId="26" xfId="44" applyBorder="1" applyAlignment="1">
      <alignment wrapText="1"/>
    </xf>
    <xf numFmtId="9" fontId="4" fillId="0" borderId="26" xfId="44" applyNumberFormat="1" applyBorder="1"/>
    <xf numFmtId="9" fontId="4" fillId="0" borderId="26" xfId="44" applyNumberFormat="1" applyBorder="1" applyAlignment="1">
      <alignment wrapText="1"/>
    </xf>
    <xf numFmtId="0" fontId="4" fillId="0" borderId="26" xfId="44" applyBorder="1"/>
    <xf numFmtId="10" fontId="4" fillId="0" borderId="26" xfId="44" applyNumberFormat="1" applyBorder="1"/>
    <xf numFmtId="10" fontId="4" fillId="0" borderId="0" xfId="44" applyNumberFormat="1"/>
    <xf numFmtId="0" fontId="4" fillId="0" borderId="25" xfId="44" applyFill="1" applyBorder="1" applyAlignment="1">
      <alignment wrapText="1"/>
    </xf>
    <xf numFmtId="9" fontId="4" fillId="0" borderId="0" xfId="44" applyNumberFormat="1"/>
    <xf numFmtId="46" fontId="23" fillId="0" borderId="0" xfId="44" applyNumberFormat="1" applyFont="1"/>
    <xf numFmtId="164" fontId="4" fillId="0" borderId="0" xfId="44" applyNumberFormat="1"/>
    <xf numFmtId="0" fontId="4" fillId="0" borderId="16" xfId="44" applyBorder="1" applyAlignment="1">
      <alignment horizontal="center" vertical="center"/>
    </xf>
    <xf numFmtId="0" fontId="4" fillId="0" borderId="0" xfId="44" applyAlignment="1">
      <alignment horizontal="center" wrapText="1"/>
    </xf>
    <xf numFmtId="0" fontId="4" fillId="0" borderId="22" xfId="44" applyBorder="1"/>
    <xf numFmtId="0" fontId="4" fillId="0" borderId="23" xfId="44" applyBorder="1"/>
    <xf numFmtId="0" fontId="4" fillId="0" borderId="16" xfId="44" applyBorder="1"/>
    <xf numFmtId="0" fontId="4" fillId="0" borderId="19" xfId="44" applyBorder="1"/>
    <xf numFmtId="0" fontId="23" fillId="0" borderId="17" xfId="44" applyFont="1" applyBorder="1"/>
    <xf numFmtId="0" fontId="4" fillId="0" borderId="0" xfId="44" applyBorder="1"/>
    <xf numFmtId="0" fontId="4" fillId="0" borderId="13" xfId="44" applyBorder="1"/>
    <xf numFmtId="0" fontId="3" fillId="0" borderId="0" xfId="45"/>
    <xf numFmtId="0" fontId="23" fillId="0" borderId="0" xfId="45" applyFont="1" applyAlignment="1">
      <alignment horizontal="center" wrapText="1"/>
    </xf>
    <xf numFmtId="0" fontId="23" fillId="0" borderId="0" xfId="45" applyFont="1"/>
    <xf numFmtId="0" fontId="23" fillId="0" borderId="0" xfId="45" applyFont="1" applyAlignment="1">
      <alignment wrapText="1"/>
    </xf>
    <xf numFmtId="0" fontId="3" fillId="0" borderId="0" xfId="45" applyFill="1"/>
    <xf numFmtId="0" fontId="23" fillId="0" borderId="0" xfId="45" applyFont="1" applyFill="1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0" fillId="0" borderId="0" xfId="0" applyFont="1"/>
    <xf numFmtId="0" fontId="30" fillId="0" borderId="0" xfId="0" applyFont="1" applyAlignment="1"/>
    <xf numFmtId="0" fontId="27" fillId="0" borderId="0" xfId="0" applyFont="1"/>
    <xf numFmtId="0" fontId="27" fillId="0" borderId="13" xfId="0" applyFont="1" applyBorder="1"/>
    <xf numFmtId="0" fontId="27" fillId="0" borderId="12" xfId="0" applyFont="1" applyBorder="1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23" fillId="0" borderId="0" xfId="0" applyFont="1" applyBorder="1"/>
    <xf numFmtId="3" fontId="0" fillId="0" borderId="0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4" fillId="0" borderId="0" xfId="42"/>
    <xf numFmtId="0" fontId="0" fillId="0" borderId="0" xfId="0" applyFill="1"/>
    <xf numFmtId="0" fontId="0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3" fillId="0" borderId="0" xfId="0" applyFont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11" fontId="0" fillId="0" borderId="26" xfId="0" applyNumberFormat="1" applyBorder="1" applyAlignment="1">
      <alignment horizontal="center"/>
    </xf>
    <xf numFmtId="11" fontId="0" fillId="0" borderId="31" xfId="0" applyNumberFormat="1" applyBorder="1" applyAlignment="1">
      <alignment horizontal="center"/>
    </xf>
    <xf numFmtId="11" fontId="0" fillId="0" borderId="32" xfId="0" applyNumberFormat="1" applyBorder="1" applyAlignment="1">
      <alignment horizontal="center"/>
    </xf>
    <xf numFmtId="11" fontId="0" fillId="0" borderId="34" xfId="0" applyNumberFormat="1" applyBorder="1" applyAlignment="1">
      <alignment horizontal="center"/>
    </xf>
    <xf numFmtId="11" fontId="0" fillId="0" borderId="36" xfId="0" applyNumberFormat="1" applyBorder="1" applyAlignment="1">
      <alignment horizontal="center"/>
    </xf>
    <xf numFmtId="11" fontId="0" fillId="0" borderId="37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35" borderId="26" xfId="0" applyFill="1" applyBorder="1" applyAlignment="1">
      <alignment horizontal="center" vertical="center" wrapText="1"/>
    </xf>
    <xf numFmtId="4" fontId="0" fillId="36" borderId="22" xfId="0" applyNumberFormat="1" applyFill="1" applyBorder="1" applyAlignment="1">
      <alignment horizontal="center"/>
    </xf>
    <xf numFmtId="4" fontId="0" fillId="36" borderId="0" xfId="0" applyNumberFormat="1" applyFill="1" applyBorder="1" applyAlignment="1">
      <alignment horizontal="center"/>
    </xf>
    <xf numFmtId="4" fontId="0" fillId="36" borderId="18" xfId="0" applyNumberFormat="1" applyFill="1" applyBorder="1" applyAlignment="1">
      <alignment horizontal="center"/>
    </xf>
    <xf numFmtId="4" fontId="0" fillId="35" borderId="22" xfId="0" applyNumberFormat="1" applyFill="1" applyBorder="1" applyAlignment="1">
      <alignment horizontal="center"/>
    </xf>
    <xf numFmtId="4" fontId="0" fillId="35" borderId="0" xfId="0" applyNumberFormat="1" applyFill="1" applyBorder="1" applyAlignment="1">
      <alignment horizontal="center"/>
    </xf>
    <xf numFmtId="4" fontId="0" fillId="35" borderId="18" xfId="0" applyNumberFormat="1" applyFill="1" applyBorder="1" applyAlignment="1">
      <alignment horizontal="center"/>
    </xf>
    <xf numFmtId="4" fontId="25" fillId="35" borderId="22" xfId="0" applyNumberFormat="1" applyFont="1" applyFill="1" applyBorder="1" applyAlignment="1">
      <alignment horizontal="center"/>
    </xf>
    <xf numFmtId="4" fontId="25" fillId="35" borderId="0" xfId="0" applyNumberFormat="1" applyFont="1" applyFill="1" applyBorder="1" applyAlignment="1">
      <alignment horizontal="center"/>
    </xf>
    <xf numFmtId="4" fontId="25" fillId="35" borderId="18" xfId="0" applyNumberFormat="1" applyFont="1" applyFill="1" applyBorder="1" applyAlignment="1">
      <alignment horizontal="center"/>
    </xf>
    <xf numFmtId="0" fontId="23" fillId="0" borderId="17" xfId="44" applyFont="1" applyBorder="1" applyAlignment="1">
      <alignment horizontal="center"/>
    </xf>
    <xf numFmtId="10" fontId="4" fillId="0" borderId="16" xfId="44" applyNumberFormat="1" applyBorder="1" applyAlignment="1">
      <alignment horizontal="center"/>
    </xf>
    <xf numFmtId="0" fontId="4" fillId="0" borderId="16" xfId="44" applyBorder="1" applyAlignment="1">
      <alignment horizontal="center"/>
    </xf>
    <xf numFmtId="0" fontId="4" fillId="0" borderId="0" xfId="44" applyNumberFormat="1" applyAlignment="1">
      <alignment horizontal="center"/>
    </xf>
    <xf numFmtId="3" fontId="25" fillId="35" borderId="26" xfId="0" applyNumberFormat="1" applyFont="1" applyFill="1" applyBorder="1" applyAlignment="1">
      <alignment horizontal="center"/>
    </xf>
    <xf numFmtId="3" fontId="25" fillId="35" borderId="33" xfId="0" applyNumberFormat="1" applyFont="1" applyFill="1" applyBorder="1" applyAlignment="1">
      <alignment horizontal="center"/>
    </xf>
    <xf numFmtId="3" fontId="25" fillId="35" borderId="34" xfId="0" applyNumberFormat="1" applyFont="1" applyFill="1" applyBorder="1" applyAlignment="1">
      <alignment horizontal="center"/>
    </xf>
    <xf numFmtId="3" fontId="25" fillId="35" borderId="35" xfId="0" applyNumberFormat="1" applyFont="1" applyFill="1" applyBorder="1" applyAlignment="1">
      <alignment horizontal="center"/>
    </xf>
    <xf numFmtId="3" fontId="25" fillId="35" borderId="36" xfId="0" applyNumberFormat="1" applyFont="1" applyFill="1" applyBorder="1" applyAlignment="1">
      <alignment horizontal="center"/>
    </xf>
    <xf numFmtId="3" fontId="25" fillId="35" borderId="37" xfId="0" applyNumberFormat="1" applyFont="1" applyFill="1" applyBorder="1" applyAlignment="1">
      <alignment horizontal="center"/>
    </xf>
    <xf numFmtId="3" fontId="25" fillId="35" borderId="38" xfId="0" applyNumberFormat="1" applyFont="1" applyFill="1" applyBorder="1" applyAlignment="1">
      <alignment horizontal="center"/>
    </xf>
    <xf numFmtId="3" fontId="25" fillId="35" borderId="39" xfId="0" applyNumberFormat="1" applyFont="1" applyFill="1" applyBorder="1" applyAlignment="1">
      <alignment horizontal="center"/>
    </xf>
    <xf numFmtId="0" fontId="25" fillId="35" borderId="40" xfId="0" applyFont="1" applyFill="1" applyBorder="1" applyAlignment="1">
      <alignment horizontal="center"/>
    </xf>
    <xf numFmtId="0" fontId="32" fillId="35" borderId="41" xfId="0" applyFont="1" applyFill="1" applyBorder="1" applyAlignment="1">
      <alignment horizontal="center"/>
    </xf>
    <xf numFmtId="0" fontId="25" fillId="35" borderId="41" xfId="0" applyFont="1" applyFill="1" applyBorder="1" applyAlignment="1">
      <alignment horizontal="center"/>
    </xf>
    <xf numFmtId="3" fontId="33" fillId="35" borderId="41" xfId="0" applyNumberFormat="1" applyFont="1" applyFill="1" applyBorder="1" applyAlignment="1">
      <alignment horizontal="center"/>
    </xf>
    <xf numFmtId="0" fontId="25" fillId="35" borderId="42" xfId="0" applyFont="1" applyFill="1" applyBorder="1" applyAlignment="1">
      <alignment horizontal="center"/>
    </xf>
    <xf numFmtId="0" fontId="23" fillId="0" borderId="19" xfId="44" applyFont="1" applyBorder="1" applyAlignment="1">
      <alignment horizontal="center"/>
    </xf>
    <xf numFmtId="0" fontId="23" fillId="37" borderId="15" xfId="0" applyFont="1" applyFill="1" applyBorder="1" applyAlignment="1">
      <alignment horizontal="center" vertical="center"/>
    </xf>
    <xf numFmtId="0" fontId="23" fillId="37" borderId="15" xfId="0" applyFont="1" applyFill="1" applyBorder="1" applyAlignment="1">
      <alignment horizontal="center" wrapText="1"/>
    </xf>
    <xf numFmtId="0" fontId="23" fillId="33" borderId="15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/>
    </xf>
    <xf numFmtId="3" fontId="25" fillId="35" borderId="30" xfId="0" applyNumberFormat="1" applyFont="1" applyFill="1" applyBorder="1" applyAlignment="1">
      <alignment horizontal="center"/>
    </xf>
    <xf numFmtId="3" fontId="25" fillId="35" borderId="31" xfId="0" applyNumberFormat="1" applyFont="1" applyFill="1" applyBorder="1" applyAlignment="1">
      <alignment horizontal="center"/>
    </xf>
    <xf numFmtId="3" fontId="25" fillId="35" borderId="43" xfId="0" applyNumberFormat="1" applyFont="1" applyFill="1" applyBorder="1" applyAlignment="1">
      <alignment horizontal="center"/>
    </xf>
    <xf numFmtId="0" fontId="23" fillId="37" borderId="27" xfId="0" applyFont="1" applyFill="1" applyBorder="1" applyAlignment="1">
      <alignment horizontal="center" vertical="center"/>
    </xf>
    <xf numFmtId="0" fontId="23" fillId="37" borderId="28" xfId="0" applyFont="1" applyFill="1" applyBorder="1" applyAlignment="1">
      <alignment horizontal="center" vertical="center"/>
    </xf>
    <xf numFmtId="0" fontId="23" fillId="37" borderId="28" xfId="0" applyFont="1" applyFill="1" applyBorder="1" applyAlignment="1">
      <alignment horizontal="center" vertical="center" wrapText="1"/>
    </xf>
    <xf numFmtId="0" fontId="23" fillId="37" borderId="29" xfId="0" applyFont="1" applyFill="1" applyBorder="1" applyAlignment="1">
      <alignment horizontal="center" vertical="center"/>
    </xf>
    <xf numFmtId="0" fontId="23" fillId="37" borderId="44" xfId="0" applyFont="1" applyFill="1" applyBorder="1" applyAlignment="1">
      <alignment horizontal="center" vertical="center"/>
    </xf>
    <xf numFmtId="3" fontId="25" fillId="35" borderId="32" xfId="0" applyNumberFormat="1" applyFont="1" applyFill="1" applyBorder="1" applyAlignment="1">
      <alignment horizontal="center"/>
    </xf>
    <xf numFmtId="3" fontId="25" fillId="35" borderId="45" xfId="0" applyNumberFormat="1" applyFont="1" applyFill="1" applyBorder="1" applyAlignment="1">
      <alignment horizontal="center"/>
    </xf>
    <xf numFmtId="3" fontId="25" fillId="35" borderId="46" xfId="0" applyNumberFormat="1" applyFont="1" applyFill="1" applyBorder="1" applyAlignment="1">
      <alignment horizontal="center"/>
    </xf>
    <xf numFmtId="3" fontId="25" fillId="35" borderId="47" xfId="0" applyNumberFormat="1" applyFont="1" applyFill="1" applyBorder="1" applyAlignment="1">
      <alignment horizontal="center"/>
    </xf>
    <xf numFmtId="0" fontId="0" fillId="37" borderId="40" xfId="0" applyFont="1" applyFill="1" applyBorder="1" applyAlignment="1">
      <alignment horizontal="center"/>
    </xf>
    <xf numFmtId="0" fontId="0" fillId="37" borderId="41" xfId="0" applyFill="1" applyBorder="1" applyAlignment="1">
      <alignment horizontal="center"/>
    </xf>
    <xf numFmtId="0" fontId="0" fillId="37" borderId="42" xfId="0" applyFill="1" applyBorder="1" applyAlignment="1">
      <alignment horizontal="center"/>
    </xf>
    <xf numFmtId="0" fontId="25" fillId="35" borderId="48" xfId="0" applyFont="1" applyFill="1" applyBorder="1" applyAlignment="1">
      <alignment horizontal="center"/>
    </xf>
    <xf numFmtId="0" fontId="32" fillId="35" borderId="49" xfId="0" applyFont="1" applyFill="1" applyBorder="1" applyAlignment="1">
      <alignment horizontal="center"/>
    </xf>
    <xf numFmtId="0" fontId="25" fillId="35" borderId="49" xfId="0" applyFont="1" applyFill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0" fontId="25" fillId="35" borderId="50" xfId="0" applyFont="1" applyFill="1" applyBorder="1" applyAlignment="1">
      <alignment horizontal="center"/>
    </xf>
    <xf numFmtId="0" fontId="0" fillId="37" borderId="41" xfId="0" applyFont="1" applyFill="1" applyBorder="1" applyAlignment="1">
      <alignment horizontal="center"/>
    </xf>
    <xf numFmtId="0" fontId="0" fillId="37" borderId="42" xfId="0" applyFont="1" applyFill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23" fillId="34" borderId="10" xfId="0" applyFont="1" applyFill="1" applyBorder="1"/>
    <xf numFmtId="3" fontId="23" fillId="34" borderId="27" xfId="0" applyNumberFormat="1" applyFont="1" applyFill="1" applyBorder="1" applyAlignment="1">
      <alignment horizontal="center"/>
    </xf>
    <xf numFmtId="3" fontId="23" fillId="34" borderId="28" xfId="0" applyNumberFormat="1" applyFont="1" applyFill="1" applyBorder="1" applyAlignment="1">
      <alignment horizontal="center"/>
    </xf>
    <xf numFmtId="3" fontId="23" fillId="34" borderId="29" xfId="0" applyNumberFormat="1" applyFont="1" applyFill="1" applyBorder="1" applyAlignment="1">
      <alignment horizontal="center"/>
    </xf>
    <xf numFmtId="0" fontId="21" fillId="33" borderId="27" xfId="0" applyFont="1" applyFill="1" applyBorder="1" applyAlignment="1">
      <alignment horizontal="center"/>
    </xf>
    <xf numFmtId="0" fontId="23" fillId="33" borderId="28" xfId="0" applyFont="1" applyFill="1" applyBorder="1" applyAlignment="1">
      <alignment horizontal="center"/>
    </xf>
    <xf numFmtId="0" fontId="23" fillId="33" borderId="29" xfId="0" applyFont="1" applyFill="1" applyBorder="1" applyAlignment="1">
      <alignment horizontal="center"/>
    </xf>
    <xf numFmtId="0" fontId="34" fillId="37" borderId="10" xfId="44" applyFont="1" applyFill="1" applyBorder="1" applyAlignment="1">
      <alignment horizontal="center"/>
    </xf>
    <xf numFmtId="0" fontId="4" fillId="35" borderId="42" xfId="44" applyFill="1" applyBorder="1"/>
    <xf numFmtId="0" fontId="23" fillId="33" borderId="13" xfId="44" applyFont="1" applyFill="1" applyBorder="1" applyAlignment="1">
      <alignment horizontal="center" vertical="center"/>
    </xf>
    <xf numFmtId="0" fontId="23" fillId="33" borderId="40" xfId="44" applyFont="1" applyFill="1" applyBorder="1"/>
    <xf numFmtId="0" fontId="23" fillId="33" borderId="52" xfId="44" applyFont="1" applyFill="1" applyBorder="1"/>
    <xf numFmtId="0" fontId="23" fillId="37" borderId="30" xfId="0" applyFont="1" applyFill="1" applyBorder="1" applyAlignment="1">
      <alignment horizontal="center"/>
    </xf>
    <xf numFmtId="0" fontId="23" fillId="37" borderId="33" xfId="0" applyFont="1" applyFill="1" applyBorder="1" applyAlignment="1">
      <alignment horizontal="center"/>
    </xf>
    <xf numFmtId="0" fontId="23" fillId="37" borderId="35" xfId="0" applyFont="1" applyFill="1" applyBorder="1" applyAlignment="1">
      <alignment horizontal="center"/>
    </xf>
    <xf numFmtId="0" fontId="23" fillId="37" borderId="16" xfId="0" applyFont="1" applyFill="1" applyBorder="1" applyAlignment="1">
      <alignment horizontal="center" vertical="center"/>
    </xf>
    <xf numFmtId="0" fontId="23" fillId="33" borderId="23" xfId="0" applyFont="1" applyFill="1" applyBorder="1" applyAlignment="1">
      <alignment horizontal="center"/>
    </xf>
    <xf numFmtId="0" fontId="23" fillId="37" borderId="23" xfId="44" applyFont="1" applyFill="1" applyBorder="1" applyAlignment="1">
      <alignment horizontal="center"/>
    </xf>
    <xf numFmtId="0" fontId="23" fillId="37" borderId="21" xfId="44" applyFont="1" applyFill="1" applyBorder="1"/>
    <xf numFmtId="0" fontId="34" fillId="37" borderId="11" xfId="44" applyFont="1" applyFill="1" applyBorder="1" applyAlignment="1">
      <alignment horizontal="center"/>
    </xf>
    <xf numFmtId="0" fontId="34" fillId="37" borderId="13" xfId="44" applyFont="1" applyFill="1" applyBorder="1"/>
    <xf numFmtId="0" fontId="4" fillId="35" borderId="15" xfId="44" applyFill="1" applyBorder="1" applyAlignment="1">
      <alignment horizontal="center"/>
    </xf>
    <xf numFmtId="0" fontId="23" fillId="0" borderId="14" xfId="44" applyFont="1" applyBorder="1" applyAlignment="1">
      <alignment horizontal="center"/>
    </xf>
    <xf numFmtId="0" fontId="34" fillId="37" borderId="13" xfId="44" applyFont="1" applyFill="1" applyBorder="1" applyAlignment="1">
      <alignment horizontal="center"/>
    </xf>
    <xf numFmtId="0" fontId="4" fillId="0" borderId="15" xfId="44" applyBorder="1" applyAlignment="1">
      <alignment horizontal="center"/>
    </xf>
    <xf numFmtId="0" fontId="4" fillId="35" borderId="16" xfId="44" applyFill="1" applyBorder="1" applyAlignment="1">
      <alignment horizontal="center"/>
    </xf>
    <xf numFmtId="0" fontId="23" fillId="37" borderId="21" xfId="44" applyFont="1" applyFill="1" applyBorder="1" applyAlignment="1">
      <alignment horizontal="center"/>
    </xf>
    <xf numFmtId="0" fontId="23" fillId="33" borderId="24" xfId="44" applyFont="1" applyFill="1" applyBorder="1" applyAlignment="1">
      <alignment horizontal="center"/>
    </xf>
    <xf numFmtId="0" fontId="23" fillId="0" borderId="0" xfId="44" applyFont="1" applyFill="1" applyBorder="1" applyAlignment="1">
      <alignment vertical="center"/>
    </xf>
    <xf numFmtId="0" fontId="0" fillId="35" borderId="34" xfId="0" applyFill="1" applyBorder="1" applyAlignment="1">
      <alignment horizontal="center" vertical="center" wrapText="1"/>
    </xf>
    <xf numFmtId="0" fontId="23" fillId="33" borderId="51" xfId="0" applyFont="1" applyFill="1" applyBorder="1" applyAlignment="1">
      <alignment horizontal="center"/>
    </xf>
    <xf numFmtId="0" fontId="0" fillId="35" borderId="46" xfId="0" applyFill="1" applyBorder="1" applyAlignment="1">
      <alignment horizontal="center" vertical="center" wrapText="1"/>
    </xf>
    <xf numFmtId="0" fontId="23" fillId="33" borderId="13" xfId="0" applyFont="1" applyFill="1" applyBorder="1"/>
    <xf numFmtId="0" fontId="23" fillId="37" borderId="52" xfId="0" applyFont="1" applyFill="1" applyBorder="1" applyAlignment="1">
      <alignment horizontal="center" vertical="center" wrapText="1"/>
    </xf>
    <xf numFmtId="0" fontId="23" fillId="37" borderId="41" xfId="0" applyFont="1" applyFill="1" applyBorder="1" applyAlignment="1">
      <alignment horizontal="center" vertical="center" wrapText="1"/>
    </xf>
    <xf numFmtId="0" fontId="23" fillId="37" borderId="42" xfId="0" applyFont="1" applyFill="1" applyBorder="1" applyAlignment="1">
      <alignment horizontal="center" vertical="center" wrapText="1"/>
    </xf>
    <xf numFmtId="0" fontId="23" fillId="37" borderId="29" xfId="0" applyFont="1" applyFill="1" applyBorder="1" applyAlignment="1">
      <alignment horizontal="center" vertical="center" wrapText="1"/>
    </xf>
    <xf numFmtId="0" fontId="0" fillId="37" borderId="23" xfId="0" applyFill="1" applyBorder="1"/>
    <xf numFmtId="0" fontId="23" fillId="37" borderId="53" xfId="0" applyFont="1" applyFill="1" applyBorder="1" applyAlignment="1">
      <alignment horizontal="center" vertical="center"/>
    </xf>
    <xf numFmtId="0" fontId="23" fillId="37" borderId="54" xfId="0" applyFont="1" applyFill="1" applyBorder="1" applyAlignment="1">
      <alignment horizontal="center" vertical="center"/>
    </xf>
    <xf numFmtId="4" fontId="0" fillId="0" borderId="27" xfId="0" applyNumberFormat="1" applyBorder="1" applyAlignment="1">
      <alignment horizontal="center"/>
    </xf>
    <xf numFmtId="4" fontId="0" fillId="0" borderId="28" xfId="0" applyNumberForma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0" fontId="23" fillId="37" borderId="55" xfId="0" applyFont="1" applyFill="1" applyBorder="1" applyAlignment="1">
      <alignment horizontal="center" vertical="center" wrapText="1"/>
    </xf>
    <xf numFmtId="0" fontId="0" fillId="37" borderId="0" xfId="0" applyFill="1" applyBorder="1"/>
    <xf numFmtId="0" fontId="23" fillId="37" borderId="0" xfId="0" applyFont="1" applyFill="1" applyBorder="1"/>
    <xf numFmtId="0" fontId="0" fillId="39" borderId="0" xfId="0" applyFill="1"/>
    <xf numFmtId="4" fontId="0" fillId="38" borderId="0" xfId="0" applyNumberFormat="1" applyFill="1" applyBorder="1" applyAlignment="1">
      <alignment horizontal="center"/>
    </xf>
    <xf numFmtId="0" fontId="23" fillId="37" borderId="17" xfId="0" applyFont="1" applyFill="1" applyBorder="1"/>
    <xf numFmtId="0" fontId="0" fillId="37" borderId="22" xfId="0" applyFill="1" applyBorder="1"/>
    <xf numFmtId="0" fontId="23" fillId="37" borderId="22" xfId="0" applyFont="1" applyFill="1" applyBorder="1"/>
    <xf numFmtId="4" fontId="0" fillId="38" borderId="22" xfId="0" applyNumberFormat="1" applyFill="1" applyBorder="1" applyAlignment="1">
      <alignment horizontal="center"/>
    </xf>
    <xf numFmtId="4" fontId="0" fillId="38" borderId="18" xfId="0" applyNumberFormat="1" applyFill="1" applyBorder="1" applyAlignment="1">
      <alignment horizontal="center"/>
    </xf>
    <xf numFmtId="3" fontId="23" fillId="34" borderId="44" xfId="0" applyNumberFormat="1" applyFont="1" applyFill="1" applyBorder="1" applyAlignment="1">
      <alignment horizontal="center"/>
    </xf>
    <xf numFmtId="0" fontId="0" fillId="37" borderId="21" xfId="0" applyFill="1" applyBorder="1"/>
    <xf numFmtId="3" fontId="0" fillId="0" borderId="21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23" fillId="37" borderId="13" xfId="0" applyFont="1" applyFill="1" applyBorder="1"/>
    <xf numFmtId="0" fontId="4" fillId="38" borderId="21" xfId="44" applyFill="1" applyBorder="1"/>
    <xf numFmtId="0" fontId="4" fillId="38" borderId="22" xfId="44" applyFill="1" applyBorder="1"/>
    <xf numFmtId="0" fontId="4" fillId="38" borderId="14" xfId="44" applyFill="1" applyBorder="1"/>
    <xf numFmtId="0" fontId="4" fillId="38" borderId="17" xfId="44" applyFill="1" applyBorder="1"/>
    <xf numFmtId="0" fontId="4" fillId="38" borderId="15" xfId="44" applyFill="1" applyBorder="1"/>
    <xf numFmtId="0" fontId="4" fillId="38" borderId="0" xfId="44" applyFill="1" applyBorder="1"/>
    <xf numFmtId="0" fontId="4" fillId="38" borderId="16" xfId="44" applyFill="1" applyBorder="1"/>
    <xf numFmtId="0" fontId="4" fillId="38" borderId="19" xfId="44" applyFill="1" applyBorder="1"/>
    <xf numFmtId="0" fontId="23" fillId="37" borderId="15" xfId="0" applyFont="1" applyFill="1" applyBorder="1" applyAlignment="1">
      <alignment horizontal="center" vertical="center" wrapText="1"/>
    </xf>
    <xf numFmtId="0" fontId="21" fillId="0" borderId="56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3" fontId="0" fillId="0" borderId="40" xfId="0" applyNumberFormat="1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3" fontId="0" fillId="0" borderId="49" xfId="0" applyNumberFormat="1" applyBorder="1" applyAlignment="1">
      <alignment horizontal="center" vertical="center"/>
    </xf>
    <xf numFmtId="3" fontId="0" fillId="0" borderId="50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23" fillId="34" borderId="47" xfId="0" applyNumberFormat="1" applyFont="1" applyFill="1" applyBorder="1" applyAlignment="1">
      <alignment horizontal="center" vertical="center"/>
    </xf>
    <xf numFmtId="3" fontId="23" fillId="34" borderId="36" xfId="0" applyNumberFormat="1" applyFont="1" applyFill="1" applyBorder="1" applyAlignment="1">
      <alignment horizontal="center" vertical="center"/>
    </xf>
    <xf numFmtId="3" fontId="23" fillId="34" borderId="37" xfId="0" applyNumberFormat="1" applyFont="1" applyFill="1" applyBorder="1" applyAlignment="1">
      <alignment horizontal="center" vertical="center"/>
    </xf>
    <xf numFmtId="3" fontId="0" fillId="35" borderId="46" xfId="0" applyNumberFormat="1" applyFill="1" applyBorder="1" applyAlignment="1">
      <alignment horizontal="center" vertical="center" wrapText="1"/>
    </xf>
    <xf numFmtId="3" fontId="0" fillId="35" borderId="26" xfId="0" applyNumberFormat="1" applyFill="1" applyBorder="1" applyAlignment="1">
      <alignment horizontal="center" vertical="center" wrapText="1"/>
    </xf>
    <xf numFmtId="3" fontId="0" fillId="35" borderId="34" xfId="0" applyNumberFormat="1" applyFill="1" applyBorder="1" applyAlignment="1">
      <alignment horizontal="center" vertical="center" wrapText="1"/>
    </xf>
    <xf numFmtId="4" fontId="0" fillId="38" borderId="21" xfId="0" applyNumberFormat="1" applyFill="1" applyBorder="1"/>
    <xf numFmtId="4" fontId="0" fillId="38" borderId="17" xfId="0" applyNumberFormat="1" applyFill="1" applyBorder="1"/>
    <xf numFmtId="4" fontId="0" fillId="38" borderId="24" xfId="0" applyNumberFormat="1" applyFill="1" applyBorder="1"/>
    <xf numFmtId="0" fontId="23" fillId="0" borderId="0" xfId="0" applyFont="1"/>
    <xf numFmtId="166" fontId="0" fillId="0" borderId="22" xfId="0" applyNumberFormat="1" applyBorder="1" applyAlignment="1">
      <alignment horizontal="center"/>
    </xf>
    <xf numFmtId="166" fontId="23" fillId="0" borderId="10" xfId="0" applyNumberFormat="1" applyFont="1" applyBorder="1" applyAlignment="1">
      <alignment horizontal="center"/>
    </xf>
    <xf numFmtId="166" fontId="23" fillId="0" borderId="13" xfId="0" applyNumberFormat="1" applyFont="1" applyBorder="1" applyAlignment="1">
      <alignment horizontal="center"/>
    </xf>
    <xf numFmtId="0" fontId="1" fillId="0" borderId="0" xfId="44" applyFont="1"/>
    <xf numFmtId="1" fontId="4" fillId="0" borderId="16" xfId="44" applyNumberFormat="1" applyBorder="1" applyAlignment="1">
      <alignment horizontal="center"/>
    </xf>
    <xf numFmtId="0" fontId="1" fillId="0" borderId="0" xfId="44" applyFont="1" applyAlignment="1">
      <alignment horizontal="right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" fillId="37" borderId="22" xfId="0" applyFont="1" applyFill="1" applyBorder="1"/>
    <xf numFmtId="0" fontId="1" fillId="0" borderId="14" xfId="44" applyFont="1" applyBorder="1" applyAlignment="1">
      <alignment horizontal="center"/>
    </xf>
    <xf numFmtId="10" fontId="1" fillId="0" borderId="24" xfId="44" applyNumberFormat="1" applyFont="1" applyBorder="1" applyAlignment="1">
      <alignment horizontal="center"/>
    </xf>
    <xf numFmtId="0" fontId="1" fillId="0" borderId="16" xfId="44" applyFont="1" applyBorder="1" applyAlignment="1">
      <alignment horizontal="center"/>
    </xf>
    <xf numFmtId="10" fontId="1" fillId="0" borderId="20" xfId="44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37" borderId="17" xfId="0" applyFont="1" applyFill="1" applyBorder="1" applyAlignment="1">
      <alignment horizontal="center"/>
    </xf>
    <xf numFmtId="0" fontId="23" fillId="37" borderId="24" xfId="0" applyFont="1" applyFill="1" applyBorder="1" applyAlignment="1">
      <alignment horizontal="center"/>
    </xf>
    <xf numFmtId="0" fontId="23" fillId="37" borderId="21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1" fillId="33" borderId="11" xfId="0" applyFont="1" applyFill="1" applyBorder="1" applyAlignment="1">
      <alignment horizontal="center"/>
    </xf>
    <xf numFmtId="0" fontId="21" fillId="33" borderId="12" xfId="0" applyFont="1" applyFill="1" applyBorder="1" applyAlignment="1">
      <alignment horizontal="center"/>
    </xf>
    <xf numFmtId="0" fontId="21" fillId="35" borderId="10" xfId="0" applyFont="1" applyFill="1" applyBorder="1" applyAlignment="1">
      <alignment horizontal="center"/>
    </xf>
    <xf numFmtId="0" fontId="21" fillId="35" borderId="11" xfId="0" applyFont="1" applyFill="1" applyBorder="1" applyAlignment="1">
      <alignment horizontal="center"/>
    </xf>
    <xf numFmtId="0" fontId="21" fillId="35" borderId="12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11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/>
    </xf>
    <xf numFmtId="0" fontId="23" fillId="33" borderId="22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/>
    </xf>
    <xf numFmtId="0" fontId="23" fillId="33" borderId="11" xfId="0" applyFont="1" applyFill="1" applyBorder="1" applyAlignment="1">
      <alignment horizontal="center"/>
    </xf>
    <xf numFmtId="0" fontId="23" fillId="33" borderId="12" xfId="0" applyFont="1" applyFill="1" applyBorder="1" applyAlignment="1">
      <alignment horizontal="center"/>
    </xf>
    <xf numFmtId="0" fontId="23" fillId="33" borderId="17" xfId="0" applyFont="1" applyFill="1" applyBorder="1" applyAlignment="1">
      <alignment horizontal="center"/>
    </xf>
    <xf numFmtId="0" fontId="23" fillId="33" borderId="24" xfId="0" applyFont="1" applyFill="1" applyBorder="1" applyAlignment="1">
      <alignment horizontal="center"/>
    </xf>
    <xf numFmtId="0" fontId="23" fillId="33" borderId="21" xfId="0" applyFont="1" applyFill="1" applyBorder="1" applyAlignment="1">
      <alignment horizontal="center"/>
    </xf>
    <xf numFmtId="0" fontId="35" fillId="0" borderId="14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21" fillId="37" borderId="21" xfId="0" applyFont="1" applyFill="1" applyBorder="1" applyAlignment="1">
      <alignment horizontal="center" vertical="center"/>
    </xf>
    <xf numFmtId="0" fontId="21" fillId="37" borderId="22" xfId="0" applyFont="1" applyFill="1" applyBorder="1" applyAlignment="1">
      <alignment horizontal="center" vertical="center"/>
    </xf>
    <xf numFmtId="0" fontId="21" fillId="37" borderId="23" xfId="0" applyFont="1" applyFill="1" applyBorder="1" applyAlignment="1">
      <alignment horizontal="center" vertical="center"/>
    </xf>
    <xf numFmtId="0" fontId="23" fillId="33" borderId="10" xfId="44" applyFont="1" applyFill="1" applyBorder="1" applyAlignment="1">
      <alignment horizontal="center" vertical="center"/>
    </xf>
    <xf numFmtId="0" fontId="23" fillId="33" borderId="11" xfId="44" applyFont="1" applyFill="1" applyBorder="1" applyAlignment="1">
      <alignment horizontal="center" vertical="center"/>
    </xf>
    <xf numFmtId="0" fontId="23" fillId="33" borderId="12" xfId="44" applyFont="1" applyFill="1" applyBorder="1" applyAlignment="1">
      <alignment horizontal="center" vertical="center"/>
    </xf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</cellXfs>
  <cellStyles count="5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uro" xfId="47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2 2" xfId="46"/>
    <cellStyle name="Normal 2 3" xfId="50"/>
    <cellStyle name="Normal 3" xfId="44"/>
    <cellStyle name="Normal 3 2" xfId="49"/>
    <cellStyle name="Normal 3 2 2" xfId="53"/>
    <cellStyle name="Normal 3 3" xfId="51"/>
    <cellStyle name="Normal 4" xfId="45"/>
    <cellStyle name="Normal 4 2" xfId="52"/>
    <cellStyle name="Note" xfId="15" builtinId="10" customBuiltin="1"/>
    <cellStyle name="Output" xfId="10" builtinId="21" customBuiltin="1"/>
    <cellStyle name="Percent 2" xfId="48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6E01"/>
      <color rgb="FF66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29"/>
  <c:chart>
    <c:title/>
    <c:plotArea>
      <c:layout/>
      <c:barChart>
        <c:barDir val="col"/>
        <c:grouping val="clustered"/>
        <c:ser>
          <c:idx val="0"/>
          <c:order val="0"/>
          <c:tx>
            <c:v>CO2 (kg/yr)</c:v>
          </c:tx>
          <c:dPt>
            <c:idx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F063-4D29-91B5-0099E3AB668C}"/>
              </c:ext>
            </c:extLst>
          </c:dPt>
          <c:dPt>
            <c:idx val="1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063-4D29-91B5-0099E3AB668C}"/>
              </c:ext>
            </c:extLst>
          </c:dPt>
          <c:dPt>
            <c:idx val="2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F063-4D29-91B5-0099E3AB668C}"/>
              </c:ext>
            </c:extLst>
          </c:dPt>
          <c:cat>
            <c:strRef>
              <c:f>(Emissions!$A$4,Emissions!$A$7,Emissions!$A$10)</c:f>
              <c:strCache>
                <c:ptCount val="3"/>
                <c:pt idx="0">
                  <c:v>District 1</c:v>
                </c:pt>
                <c:pt idx="1">
                  <c:v>District 2</c:v>
                </c:pt>
                <c:pt idx="2">
                  <c:v>District 3</c:v>
                </c:pt>
              </c:strCache>
            </c:strRef>
          </c:cat>
          <c:val>
            <c:numRef>
              <c:f>(Emissions!$C$4,Emissions!$C$7,Emissions!$C$10)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63-4D29-91B5-0099E3AB668C}"/>
            </c:ext>
          </c:extLst>
        </c:ser>
        <c:axId val="78598144"/>
        <c:axId val="78599680"/>
      </c:barChart>
      <c:catAx>
        <c:axId val="78598144"/>
        <c:scaling>
          <c:orientation val="minMax"/>
        </c:scaling>
        <c:axPos val="b"/>
        <c:numFmt formatCode="General" sourceLinked="0"/>
        <c:majorTickMark val="none"/>
        <c:tickLblPos val="nextTo"/>
        <c:crossAx val="78599680"/>
        <c:crosses val="autoZero"/>
        <c:auto val="1"/>
        <c:lblAlgn val="ctr"/>
        <c:lblOffset val="100"/>
      </c:catAx>
      <c:valAx>
        <c:axId val="78599680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78598144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26"/>
  <c:chart>
    <c:title/>
    <c:plotArea>
      <c:layout/>
      <c:barChart>
        <c:barDir val="col"/>
        <c:grouping val="clustered"/>
        <c:ser>
          <c:idx val="0"/>
          <c:order val="0"/>
          <c:tx>
            <c:v>CO2 (kg/yr)</c:v>
          </c:tx>
          <c:dPt>
            <c:idx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488-4B15-B541-F0E3390E654A}"/>
              </c:ext>
            </c:extLst>
          </c:dPt>
          <c:dPt>
            <c:idx val="1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488-4B15-B541-F0E3390E654A}"/>
              </c:ext>
            </c:extLst>
          </c:dPt>
          <c:dPt>
            <c:idx val="2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9488-4B15-B541-F0E3390E654A}"/>
              </c:ext>
            </c:extLst>
          </c:dPt>
          <c:cat>
            <c:strRef>
              <c:f>(Emissions!$A$4,Emissions!$A$7,Emissions!$A$10)</c:f>
              <c:strCache>
                <c:ptCount val="3"/>
                <c:pt idx="0">
                  <c:v>District 1</c:v>
                </c:pt>
                <c:pt idx="1">
                  <c:v>District 2</c:v>
                </c:pt>
                <c:pt idx="2">
                  <c:v>District 3</c:v>
                </c:pt>
              </c:strCache>
            </c:strRef>
          </c:cat>
          <c:val>
            <c:numRef>
              <c:f>(Emissions!$F$4,Emissions!$F$7,Emissions!$F$10)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88-4B15-B541-F0E3390E654A}"/>
            </c:ext>
          </c:extLst>
        </c:ser>
        <c:axId val="78524416"/>
        <c:axId val="78525952"/>
      </c:barChart>
      <c:catAx>
        <c:axId val="78524416"/>
        <c:scaling>
          <c:orientation val="minMax"/>
        </c:scaling>
        <c:axPos val="b"/>
        <c:numFmt formatCode="General" sourceLinked="0"/>
        <c:majorTickMark val="none"/>
        <c:tickLblPos val="nextTo"/>
        <c:crossAx val="78525952"/>
        <c:crosses val="autoZero"/>
        <c:auto val="1"/>
        <c:lblAlgn val="ctr"/>
        <c:lblOffset val="100"/>
      </c:catAx>
      <c:valAx>
        <c:axId val="78525952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78524416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29"/>
  <c:chart>
    <c:title/>
    <c:plotArea>
      <c:layout/>
      <c:barChart>
        <c:barDir val="col"/>
        <c:grouping val="clustered"/>
        <c:ser>
          <c:idx val="0"/>
          <c:order val="0"/>
          <c:tx>
            <c:v>CO2 (kg/yr)</c:v>
          </c:tx>
          <c:spPr>
            <a:solidFill>
              <a:srgbClr val="92D050"/>
            </a:solidFill>
          </c:spPr>
          <c:dPt>
            <c:idx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EDE-4267-A49C-1B8C8516D8DD}"/>
              </c:ext>
            </c:extLst>
          </c:dPt>
          <c:dPt>
            <c:idx val="1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EDE-4267-A49C-1B8C8516D8DD}"/>
              </c:ext>
            </c:extLst>
          </c:dPt>
          <c:dPt>
            <c:idx val="2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9EDE-4267-A49C-1B8C8516D8DD}"/>
              </c:ext>
            </c:extLst>
          </c:dPt>
          <c:cat>
            <c:strRef>
              <c:f>(Emissions!$A$4,Emissions!$A$7,Emissions!$A$10)</c:f>
              <c:strCache>
                <c:ptCount val="3"/>
                <c:pt idx="0">
                  <c:v>District 1</c:v>
                </c:pt>
                <c:pt idx="1">
                  <c:v>District 2</c:v>
                </c:pt>
                <c:pt idx="2">
                  <c:v>District 3</c:v>
                </c:pt>
              </c:strCache>
            </c:strRef>
          </c:cat>
          <c:val>
            <c:numRef>
              <c:f>(Emissions!$G$4,Emissions!$G$7,Emissions!$G$10)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E-4267-A49C-1B8C8516D8DD}"/>
            </c:ext>
          </c:extLst>
        </c:ser>
        <c:axId val="78556544"/>
        <c:axId val="78562432"/>
      </c:barChart>
      <c:catAx>
        <c:axId val="78556544"/>
        <c:scaling>
          <c:orientation val="minMax"/>
        </c:scaling>
        <c:axPos val="b"/>
        <c:numFmt formatCode="General" sourceLinked="0"/>
        <c:majorTickMark val="none"/>
        <c:tickLblPos val="nextTo"/>
        <c:crossAx val="78562432"/>
        <c:crosses val="autoZero"/>
        <c:auto val="1"/>
        <c:lblAlgn val="ctr"/>
        <c:lblOffset val="100"/>
      </c:catAx>
      <c:valAx>
        <c:axId val="78562432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78556544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28"/>
  <c:chart>
    <c:title/>
    <c:plotArea>
      <c:layout/>
      <c:barChart>
        <c:barDir val="col"/>
        <c:grouping val="clustered"/>
        <c:ser>
          <c:idx val="0"/>
          <c:order val="0"/>
          <c:tx>
            <c:v>CO2 (kg/yr)</c:v>
          </c:tx>
          <c:dPt>
            <c:idx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6678-496A-92A6-AF9665873916}"/>
              </c:ext>
            </c:extLst>
          </c:dPt>
          <c:dPt>
            <c:idx val="1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678-496A-92A6-AF9665873916}"/>
              </c:ext>
            </c:extLst>
          </c:dPt>
          <c:dPt>
            <c:idx val="2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6678-496A-92A6-AF9665873916}"/>
              </c:ext>
            </c:extLst>
          </c:dPt>
          <c:cat>
            <c:strRef>
              <c:f>(Emissions!$A$4,Emissions!$A$7,Emissions!$A$10)</c:f>
              <c:strCache>
                <c:ptCount val="3"/>
                <c:pt idx="0">
                  <c:v>District 1</c:v>
                </c:pt>
                <c:pt idx="1">
                  <c:v>District 2</c:v>
                </c:pt>
                <c:pt idx="2">
                  <c:v>District 3</c:v>
                </c:pt>
              </c:strCache>
            </c:strRef>
          </c:cat>
          <c:val>
            <c:numRef>
              <c:f>(Emissions!$H$4,Emissions!$H$7,Emissions!$H$10)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78-496A-92A6-AF9665873916}"/>
            </c:ext>
          </c:extLst>
        </c:ser>
        <c:axId val="80423936"/>
        <c:axId val="80433920"/>
      </c:barChart>
      <c:catAx>
        <c:axId val="80423936"/>
        <c:scaling>
          <c:orientation val="minMax"/>
        </c:scaling>
        <c:axPos val="b"/>
        <c:numFmt formatCode="General" sourceLinked="0"/>
        <c:majorTickMark val="none"/>
        <c:tickLblPos val="nextTo"/>
        <c:crossAx val="80433920"/>
        <c:crosses val="autoZero"/>
        <c:auto val="1"/>
        <c:lblAlgn val="ctr"/>
        <c:lblOffset val="100"/>
      </c:catAx>
      <c:valAx>
        <c:axId val="80433920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80423936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3</xdr:row>
      <xdr:rowOff>171450</xdr:rowOff>
    </xdr:from>
    <xdr:to>
      <xdr:col>16</xdr:col>
      <xdr:colOff>219075</xdr:colOff>
      <xdr:row>15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6" y="742951"/>
          <a:ext cx="12058650" cy="2138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35</xdr:row>
      <xdr:rowOff>28575</xdr:rowOff>
    </xdr:from>
    <xdr:to>
      <xdr:col>6</xdr:col>
      <xdr:colOff>0</xdr:colOff>
      <xdr:row>51</xdr:row>
      <xdr:rowOff>152400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xmlns="" id="{00000000-0008-0000-04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561975</xdr:colOff>
      <xdr:row>56</xdr:row>
      <xdr:rowOff>9525</xdr:rowOff>
    </xdr:from>
    <xdr:to>
      <xdr:col>6</xdr:col>
      <xdr:colOff>38100</xdr:colOff>
      <xdr:row>72</xdr:row>
      <xdr:rowOff>133350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xmlns="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561975</xdr:colOff>
      <xdr:row>77</xdr:row>
      <xdr:rowOff>38100</xdr:rowOff>
    </xdr:from>
    <xdr:to>
      <xdr:col>6</xdr:col>
      <xdr:colOff>47625</xdr:colOff>
      <xdr:row>93</xdr:row>
      <xdr:rowOff>180975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571500</xdr:colOff>
      <xdr:row>99</xdr:row>
      <xdr:rowOff>38100</xdr:rowOff>
    </xdr:from>
    <xdr:to>
      <xdr:col>6</xdr:col>
      <xdr:colOff>47625</xdr:colOff>
      <xdr:row>115</xdr:row>
      <xdr:rowOff>161925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xmlns="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ib14199/Downloads/Calculations%20rev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ser Guide"/>
      <sheetName val="Demand"/>
      <sheetName val="Exergy"/>
      <sheetName val="Cost"/>
      <sheetName val="Emissions"/>
      <sheetName val="Components"/>
      <sheetName val="Output Matrix"/>
      <sheetName val="Data"/>
      <sheetName val="User defined dwelling input"/>
      <sheetName val="ExergyData"/>
      <sheetName val="Cost Data"/>
      <sheetName val="Calculat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Label</v>
          </cell>
          <cell r="B1" t="str">
            <v>Technology</v>
          </cell>
          <cell r="C1" t="str">
            <v>Energy Efficency Ƞ</v>
          </cell>
          <cell r="D1" t="str">
            <v>Exergy Efficiency Ψ</v>
          </cell>
        </row>
        <row r="2">
          <cell r="A2" t="str">
            <v>F</v>
          </cell>
          <cell r="B2" t="str">
            <v xml:space="preserve">Thermal Energy Store, Water Tank (fluid heat exchanger) (35degC) </v>
          </cell>
          <cell r="C2">
            <v>0.83</v>
          </cell>
          <cell r="D2">
            <v>0.27</v>
          </cell>
          <cell r="J2" t="str">
            <v>Fossil Fuels</v>
          </cell>
          <cell r="K2" t="str">
            <v>Current (~fossil fuel)</v>
          </cell>
        </row>
        <row r="3">
          <cell r="A3" t="str">
            <v>G</v>
          </cell>
          <cell r="B3" t="str">
            <v>Thermal Energy Store, Water Tank (fluid heat exchanger) (75degC)</v>
          </cell>
          <cell r="C3">
            <v>0.83</v>
          </cell>
          <cell r="D3">
            <v>0.73</v>
          </cell>
          <cell r="J3" t="str">
            <v>Biofuel</v>
          </cell>
          <cell r="K3" t="str">
            <v>50:50 mix</v>
          </cell>
        </row>
        <row r="4">
          <cell r="A4" t="str">
            <v>A</v>
          </cell>
          <cell r="B4" t="str">
            <v>Fossil Fuel Electricity Generation</v>
          </cell>
          <cell r="C4">
            <v>0.37</v>
          </cell>
          <cell r="D4">
            <v>0.373</v>
          </cell>
          <cell r="K4" t="str">
            <v>No Fossil, Combustion Based</v>
          </cell>
        </row>
        <row r="5">
          <cell r="A5" t="str">
            <v>L</v>
          </cell>
          <cell r="B5" t="str">
            <v>Fossil Fuel Electricity to Heat</v>
          </cell>
          <cell r="C5">
            <v>0.95</v>
          </cell>
          <cell r="D5">
            <v>0.16600000000000001</v>
          </cell>
          <cell r="K5" t="str">
            <v>Non-Thermal Renewables</v>
          </cell>
        </row>
        <row r="6">
          <cell r="A6" t="str">
            <v>N</v>
          </cell>
          <cell r="B6" t="str">
            <v>GSHP System (COP 3.4) Product exergy/Fuel exergy</v>
          </cell>
          <cell r="C6">
            <v>3.4</v>
          </cell>
          <cell r="D6">
            <v>0.72</v>
          </cell>
        </row>
        <row r="7">
          <cell r="A7" t="str">
            <v>O</v>
          </cell>
          <cell r="B7" t="str">
            <v>GSHP System (COP 1.68) Product exergy/Fuel exergy</v>
          </cell>
          <cell r="C7">
            <v>1.68</v>
          </cell>
          <cell r="D7">
            <v>0.59770000000000001</v>
          </cell>
        </row>
        <row r="8">
          <cell r="A8" t="str">
            <v>B</v>
          </cell>
          <cell r="B8" t="str">
            <v>Fuel Based District boiler</v>
          </cell>
          <cell r="C8">
            <v>0.85</v>
          </cell>
          <cell r="D8">
            <v>0.309</v>
          </cell>
        </row>
        <row r="9">
          <cell r="A9" t="str">
            <v>D</v>
          </cell>
          <cell r="B9" t="str">
            <v>Wires</v>
          </cell>
          <cell r="C9">
            <v>0.99</v>
          </cell>
          <cell r="D9">
            <v>1</v>
          </cell>
        </row>
        <row r="10">
          <cell r="A10" t="str">
            <v>E</v>
          </cell>
          <cell r="B10" t="str">
            <v>Pipe Losses</v>
          </cell>
          <cell r="C10">
            <v>0.95</v>
          </cell>
          <cell r="D10">
            <v>0.74</v>
          </cell>
          <cell r="I10">
            <v>2.7E-2</v>
          </cell>
          <cell r="J10">
            <v>1</v>
          </cell>
          <cell r="K10">
            <v>3</v>
          </cell>
          <cell r="L10">
            <v>2</v>
          </cell>
          <cell r="M10">
            <v>3</v>
          </cell>
          <cell r="N10">
            <v>4</v>
          </cell>
        </row>
        <row r="11">
          <cell r="A11" t="str">
            <v>I</v>
          </cell>
          <cell r="B11" t="str">
            <v>Battery</v>
          </cell>
          <cell r="C11">
            <v>0.8</v>
          </cell>
          <cell r="D11">
            <v>0.5</v>
          </cell>
          <cell r="I11">
            <v>5.3999999999999999E-2</v>
          </cell>
          <cell r="J11">
            <v>2</v>
          </cell>
          <cell r="K11">
            <v>4</v>
          </cell>
          <cell r="L11">
            <v>3</v>
          </cell>
          <cell r="M11">
            <v>4</v>
          </cell>
          <cell r="N11">
            <v>5</v>
          </cell>
        </row>
        <row r="12">
          <cell r="A12" t="str">
            <v>H</v>
          </cell>
          <cell r="B12" t="str">
            <v>PCM material</v>
          </cell>
          <cell r="C12">
            <v>0.9</v>
          </cell>
          <cell r="D12">
            <v>0.6</v>
          </cell>
          <cell r="I12">
            <v>8.1000000000000003E-2</v>
          </cell>
          <cell r="J12">
            <v>2</v>
          </cell>
          <cell r="K12">
            <v>4</v>
          </cell>
          <cell r="L12">
            <v>3</v>
          </cell>
          <cell r="M12">
            <v>4</v>
          </cell>
          <cell r="N12">
            <v>5</v>
          </cell>
        </row>
        <row r="13">
          <cell r="A13" t="str">
            <v>C</v>
          </cell>
          <cell r="B13" t="str">
            <v>CHP Unit</v>
          </cell>
          <cell r="C13">
            <v>0.92</v>
          </cell>
          <cell r="D13">
            <v>0.43</v>
          </cell>
          <cell r="I13">
            <v>0.108</v>
          </cell>
          <cell r="J13">
            <v>3</v>
          </cell>
          <cell r="K13">
            <v>5</v>
          </cell>
          <cell r="L13">
            <v>4</v>
          </cell>
          <cell r="M13">
            <v>5</v>
          </cell>
          <cell r="N13">
            <v>6</v>
          </cell>
        </row>
        <row r="14">
          <cell r="A14" t="str">
            <v>K</v>
          </cell>
          <cell r="B14" t="str">
            <v>Radiator</v>
          </cell>
          <cell r="C14">
            <v>0.97</v>
          </cell>
          <cell r="D14">
            <v>0.74</v>
          </cell>
          <cell r="I14">
            <v>0.13500000000000001</v>
          </cell>
          <cell r="J14">
            <v>3</v>
          </cell>
          <cell r="K14">
            <v>5</v>
          </cell>
          <cell r="L14">
            <v>4</v>
          </cell>
          <cell r="M14">
            <v>5</v>
          </cell>
          <cell r="N14">
            <v>6</v>
          </cell>
        </row>
        <row r="15">
          <cell r="I15">
            <v>0.16200000000000001</v>
          </cell>
          <cell r="J15">
            <v>4</v>
          </cell>
          <cell r="K15">
            <v>6</v>
          </cell>
          <cell r="L15">
            <v>5</v>
          </cell>
          <cell r="M15">
            <v>6</v>
          </cell>
          <cell r="N15">
            <v>7</v>
          </cell>
        </row>
        <row r="16">
          <cell r="I16">
            <v>0.189</v>
          </cell>
          <cell r="J16">
            <v>4</v>
          </cell>
          <cell r="K16">
            <v>6</v>
          </cell>
          <cell r="L16">
            <v>5</v>
          </cell>
          <cell r="M16">
            <v>6</v>
          </cell>
          <cell r="N16">
            <v>7</v>
          </cell>
        </row>
        <row r="17">
          <cell r="I17">
            <v>0.216</v>
          </cell>
          <cell r="J17">
            <v>5</v>
          </cell>
          <cell r="K17">
            <v>7</v>
          </cell>
          <cell r="L17">
            <v>6</v>
          </cell>
          <cell r="M17">
            <v>7</v>
          </cell>
          <cell r="N17">
            <v>8</v>
          </cell>
        </row>
        <row r="18">
          <cell r="I18">
            <v>0.24299999999999999</v>
          </cell>
          <cell r="J18">
            <v>5</v>
          </cell>
          <cell r="K18">
            <v>7</v>
          </cell>
          <cell r="L18">
            <v>6</v>
          </cell>
          <cell r="M18">
            <v>7</v>
          </cell>
          <cell r="N18">
            <v>8</v>
          </cell>
        </row>
        <row r="19">
          <cell r="I19">
            <v>0.27</v>
          </cell>
          <cell r="J19">
            <v>6</v>
          </cell>
          <cell r="K19">
            <v>8</v>
          </cell>
          <cell r="L19">
            <v>7</v>
          </cell>
          <cell r="M19">
            <v>8</v>
          </cell>
          <cell r="N19">
            <v>9</v>
          </cell>
        </row>
        <row r="20">
          <cell r="F20" t="str">
            <v>District 1</v>
          </cell>
        </row>
        <row r="21">
          <cell r="F21" t="str">
            <v>District 2</v>
          </cell>
        </row>
        <row r="22">
          <cell r="F22" t="str">
            <v>District 3</v>
          </cell>
        </row>
      </sheetData>
      <sheetData sheetId="10">
        <row r="1">
          <cell r="B1" t="str">
            <v>Size kWh</v>
          </cell>
          <cell r="C1" t="str">
            <v>Cost p/kWh</v>
          </cell>
          <cell r="H1" t="str">
            <v>Size kWh</v>
          </cell>
          <cell r="I1" t="str">
            <v>Cost p/kWh</v>
          </cell>
        </row>
        <row r="2">
          <cell r="B2">
            <v>0</v>
          </cell>
          <cell r="C2">
            <v>10.44</v>
          </cell>
          <cell r="H2">
            <v>0</v>
          </cell>
          <cell r="I2">
            <v>3.07</v>
          </cell>
        </row>
        <row r="3">
          <cell r="B3">
            <v>20000</v>
          </cell>
          <cell r="C3">
            <v>8.7799999999999994</v>
          </cell>
          <cell r="H3">
            <v>278000</v>
          </cell>
          <cell r="I3">
            <v>2.42</v>
          </cell>
        </row>
        <row r="4">
          <cell r="B4">
            <v>500000</v>
          </cell>
          <cell r="C4">
            <v>7.81</v>
          </cell>
          <cell r="H4">
            <v>2778000</v>
          </cell>
          <cell r="I4">
            <v>2.13</v>
          </cell>
        </row>
        <row r="5">
          <cell r="B5">
            <v>2000000</v>
          </cell>
          <cell r="C5">
            <v>7.05</v>
          </cell>
          <cell r="H5">
            <v>27778000</v>
          </cell>
          <cell r="I5">
            <v>1.92</v>
          </cell>
        </row>
        <row r="6">
          <cell r="B6">
            <v>20000000</v>
          </cell>
          <cell r="C6">
            <v>6.83</v>
          </cell>
          <cell r="H6">
            <v>277778000</v>
          </cell>
          <cell r="I6">
            <v>1.7</v>
          </cell>
        </row>
        <row r="7">
          <cell r="B7">
            <v>70000000</v>
          </cell>
          <cell r="C7">
            <v>6.58</v>
          </cell>
        </row>
        <row r="8">
          <cell r="B8">
            <v>150000000</v>
          </cell>
          <cell r="C8">
            <v>7.18</v>
          </cell>
        </row>
        <row r="20">
          <cell r="D20">
            <v>2500</v>
          </cell>
          <cell r="E20">
            <v>16</v>
          </cell>
        </row>
        <row r="21">
          <cell r="D21">
            <v>10000</v>
          </cell>
          <cell r="E21">
            <v>9.6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pa.gov/climateleadership/documents/emission-factor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shrinkthatfootprint.com/how-much-heating-energy-do-you-use" TargetMode="External"/><Relationship Id="rId2" Type="http://schemas.openxmlformats.org/officeDocument/2006/relationships/hyperlink" Target="https://www.gov.uk/government/uploads/system/uploads/attachment_data/file/379052/EED_regs_-_benchmark_heat_demand_paper_-_261114_.pdf" TargetMode="External"/><Relationship Id="rId1" Type="http://schemas.openxmlformats.org/officeDocument/2006/relationships/hyperlink" Target="http://www.cse.org.uk/thesource/download/assessing-the-heat-demand-of-a-whole-community-exercise-planlocal-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"/>
  <sheetViews>
    <sheetView tabSelected="1" workbookViewId="0">
      <selection activeCell="B14" sqref="B14"/>
    </sheetView>
  </sheetViews>
  <sheetFormatPr defaultRowHeight="15"/>
  <cols>
    <col min="1" max="1" width="45.140625" bestFit="1" customWidth="1"/>
  </cols>
  <sheetData>
    <row r="2" spans="1:1">
      <c r="A2" s="17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54"/>
  <sheetViews>
    <sheetView zoomScaleNormal="100" workbookViewId="0">
      <selection activeCell="K6" sqref="K6"/>
    </sheetView>
  </sheetViews>
  <sheetFormatPr defaultRowHeight="15"/>
  <cols>
    <col min="1" max="1" width="37.42578125" bestFit="1" customWidth="1"/>
    <col min="2" max="3" width="12" customWidth="1"/>
    <col min="4" max="4" width="12" style="58" customWidth="1"/>
    <col min="5" max="6" width="12" customWidth="1"/>
    <col min="7" max="7" width="12" style="58" customWidth="1"/>
    <col min="8" max="10" width="12" customWidth="1"/>
    <col min="11" max="11" width="12" style="58" customWidth="1"/>
    <col min="12" max="13" width="12" customWidth="1"/>
    <col min="15" max="15" width="21.28515625" customWidth="1"/>
    <col min="16" max="16" width="38" customWidth="1"/>
  </cols>
  <sheetData>
    <row r="1" spans="1:14" ht="15.75" thickBot="1">
      <c r="A1" s="261" t="s">
        <v>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3"/>
      <c r="N1" s="59"/>
    </row>
    <row r="2" spans="1:14" ht="15.75" thickBot="1">
      <c r="A2" s="129" t="s">
        <v>2</v>
      </c>
      <c r="B2" s="264" t="s">
        <v>3</v>
      </c>
      <c r="C2" s="265"/>
      <c r="D2" s="265"/>
      <c r="E2" s="266"/>
      <c r="F2" s="264" t="s">
        <v>4</v>
      </c>
      <c r="G2" s="265"/>
      <c r="H2" s="265"/>
      <c r="I2" s="266"/>
      <c r="J2" s="267" t="s">
        <v>5</v>
      </c>
      <c r="K2" s="268"/>
      <c r="L2" s="268"/>
      <c r="M2" s="269"/>
      <c r="N2" s="59"/>
    </row>
    <row r="3" spans="1:14" ht="15.75" thickBot="1">
      <c r="A3" s="270" t="s">
        <v>6</v>
      </c>
      <c r="B3" s="258" t="s">
        <v>7</v>
      </c>
      <c r="C3" s="258"/>
      <c r="D3" s="258"/>
      <c r="E3" s="259"/>
      <c r="F3" s="260" t="s">
        <v>7</v>
      </c>
      <c r="G3" s="258"/>
      <c r="H3" s="258"/>
      <c r="I3" s="259"/>
      <c r="J3" s="260" t="s">
        <v>7</v>
      </c>
      <c r="K3" s="258"/>
      <c r="L3" s="258"/>
      <c r="M3" s="259"/>
      <c r="N3" s="59"/>
    </row>
    <row r="4" spans="1:14" ht="32.25" customHeight="1" thickBot="1">
      <c r="A4" s="271"/>
      <c r="B4" s="133" t="s">
        <v>8</v>
      </c>
      <c r="C4" s="134" t="s">
        <v>9</v>
      </c>
      <c r="D4" s="135" t="s">
        <v>10</v>
      </c>
      <c r="E4" s="137" t="s">
        <v>11</v>
      </c>
      <c r="F4" s="133" t="s">
        <v>8</v>
      </c>
      <c r="G4" s="134" t="s">
        <v>9</v>
      </c>
      <c r="H4" s="135" t="s">
        <v>10</v>
      </c>
      <c r="I4" s="137" t="s">
        <v>11</v>
      </c>
      <c r="J4" s="133" t="s">
        <v>8</v>
      </c>
      <c r="K4" s="134" t="s">
        <v>9</v>
      </c>
      <c r="L4" s="135" t="s">
        <v>10</v>
      </c>
      <c r="M4" s="136" t="s">
        <v>11</v>
      </c>
      <c r="N4" s="59"/>
    </row>
    <row r="5" spans="1:14">
      <c r="A5" s="142" t="s">
        <v>12</v>
      </c>
      <c r="B5" s="139"/>
      <c r="C5" s="131"/>
      <c r="D5" s="131"/>
      <c r="E5" s="132"/>
      <c r="F5" s="130"/>
      <c r="G5" s="131"/>
      <c r="H5" s="131"/>
      <c r="I5" s="132"/>
      <c r="J5" s="130"/>
      <c r="K5" s="131"/>
      <c r="L5" s="131"/>
      <c r="M5" s="138"/>
      <c r="N5" s="59"/>
    </row>
    <row r="6" spans="1:14">
      <c r="A6" s="143" t="s">
        <v>13</v>
      </c>
      <c r="B6" s="140"/>
      <c r="C6" s="112"/>
      <c r="D6" s="112"/>
      <c r="E6" s="118"/>
      <c r="F6" s="113"/>
      <c r="G6" s="112"/>
      <c r="H6" s="112"/>
      <c r="I6" s="118"/>
      <c r="J6" s="113"/>
      <c r="K6" s="112"/>
      <c r="L6" s="112"/>
      <c r="M6" s="114"/>
      <c r="N6" s="59"/>
    </row>
    <row r="7" spans="1:14">
      <c r="A7" s="143" t="s">
        <v>14</v>
      </c>
      <c r="B7" s="140"/>
      <c r="C7" s="112"/>
      <c r="D7" s="112"/>
      <c r="E7" s="118"/>
      <c r="F7" s="113"/>
      <c r="G7" s="112"/>
      <c r="H7" s="112"/>
      <c r="I7" s="118"/>
      <c r="J7" s="113"/>
      <c r="K7" s="112"/>
      <c r="L7" s="112"/>
      <c r="M7" s="114"/>
      <c r="N7" s="59"/>
    </row>
    <row r="8" spans="1:14">
      <c r="A8" s="143" t="s">
        <v>15</v>
      </c>
      <c r="B8" s="140"/>
      <c r="C8" s="112"/>
      <c r="D8" s="112"/>
      <c r="E8" s="118"/>
      <c r="F8" s="113"/>
      <c r="G8" s="112"/>
      <c r="H8" s="112"/>
      <c r="I8" s="118"/>
      <c r="J8" s="113"/>
      <c r="K8" s="112"/>
      <c r="L8" s="112"/>
      <c r="M8" s="114"/>
      <c r="N8" s="59"/>
    </row>
    <row r="9" spans="1:14">
      <c r="A9" s="143" t="s">
        <v>16</v>
      </c>
      <c r="B9" s="140"/>
      <c r="C9" s="112"/>
      <c r="D9" s="112"/>
      <c r="E9" s="118"/>
      <c r="F9" s="113"/>
      <c r="G9" s="112"/>
      <c r="H9" s="112"/>
      <c r="I9" s="118"/>
      <c r="J9" s="113"/>
      <c r="K9" s="112"/>
      <c r="L9" s="112"/>
      <c r="M9" s="114"/>
      <c r="N9" s="59"/>
    </row>
    <row r="10" spans="1:14">
      <c r="A10" s="143" t="s">
        <v>17</v>
      </c>
      <c r="B10" s="140"/>
      <c r="C10" s="112"/>
      <c r="D10" s="112"/>
      <c r="E10" s="118"/>
      <c r="F10" s="113"/>
      <c r="G10" s="112"/>
      <c r="H10" s="112"/>
      <c r="I10" s="118"/>
      <c r="J10" s="113"/>
      <c r="K10" s="112"/>
      <c r="L10" s="112"/>
      <c r="M10" s="114"/>
      <c r="N10" s="57"/>
    </row>
    <row r="11" spans="1:14">
      <c r="A11" s="143" t="s">
        <v>18</v>
      </c>
      <c r="B11" s="140"/>
      <c r="C11" s="112"/>
      <c r="D11" s="112"/>
      <c r="E11" s="118"/>
      <c r="F11" s="113"/>
      <c r="G11" s="112"/>
      <c r="H11" s="112"/>
      <c r="I11" s="118"/>
      <c r="J11" s="113"/>
      <c r="K11" s="112"/>
      <c r="L11" s="112"/>
      <c r="M11" s="114"/>
      <c r="N11" s="57"/>
    </row>
    <row r="12" spans="1:14" ht="15.75" thickBot="1">
      <c r="A12" s="144" t="s">
        <v>19</v>
      </c>
      <c r="B12" s="141"/>
      <c r="C12" s="116"/>
      <c r="D12" s="116"/>
      <c r="E12" s="119"/>
      <c r="F12" s="115"/>
      <c r="G12" s="116"/>
      <c r="H12" s="116"/>
      <c r="I12" s="119"/>
      <c r="J12" s="115"/>
      <c r="K12" s="116"/>
      <c r="L12" s="116"/>
      <c r="M12" s="117"/>
      <c r="N12" s="59"/>
    </row>
    <row r="13" spans="1:14" ht="30.75" thickBot="1">
      <c r="A13" s="128" t="s">
        <v>20</v>
      </c>
      <c r="B13" s="127" t="s">
        <v>21</v>
      </c>
      <c r="C13" s="77"/>
      <c r="D13" s="59"/>
      <c r="E13" s="59"/>
      <c r="F13" s="127" t="s">
        <v>21</v>
      </c>
      <c r="G13" s="59"/>
      <c r="H13" s="59"/>
      <c r="I13" s="59"/>
      <c r="J13" s="127" t="s">
        <v>21</v>
      </c>
      <c r="K13" s="59"/>
      <c r="L13" s="59"/>
      <c r="M13" s="59"/>
      <c r="N13" s="59"/>
    </row>
    <row r="14" spans="1:14">
      <c r="A14" s="142" t="s">
        <v>22</v>
      </c>
      <c r="B14" s="145"/>
      <c r="C14" s="74"/>
      <c r="D14" s="74"/>
      <c r="E14" s="74"/>
      <c r="F14" s="120"/>
      <c r="G14" s="74"/>
      <c r="H14" s="74"/>
      <c r="I14" s="74"/>
      <c r="J14" s="120"/>
      <c r="K14" s="59"/>
      <c r="L14" s="59"/>
      <c r="M14" s="59"/>
      <c r="N14" s="59"/>
    </row>
    <row r="15" spans="1:14">
      <c r="A15" s="150" t="s">
        <v>23</v>
      </c>
      <c r="B15" s="146"/>
      <c r="C15" s="78"/>
      <c r="D15" s="75"/>
      <c r="E15" s="75"/>
      <c r="F15" s="121"/>
      <c r="G15" s="75"/>
      <c r="H15" s="75"/>
      <c r="I15" s="75"/>
      <c r="J15" s="121"/>
      <c r="K15" s="59"/>
      <c r="L15" s="59"/>
      <c r="M15" s="59"/>
      <c r="N15" s="59"/>
    </row>
    <row r="16" spans="1:14">
      <c r="A16" s="150" t="s">
        <v>24</v>
      </c>
      <c r="B16" s="147"/>
      <c r="C16" s="78"/>
      <c r="D16" s="75"/>
      <c r="E16" s="75"/>
      <c r="F16" s="122"/>
      <c r="G16" s="75"/>
      <c r="H16" s="75"/>
      <c r="I16" s="75"/>
      <c r="J16" s="122"/>
      <c r="K16" s="59"/>
      <c r="L16" s="59"/>
      <c r="M16" s="59"/>
      <c r="N16" s="59"/>
    </row>
    <row r="17" spans="1:13">
      <c r="A17" s="150" t="s">
        <v>25</v>
      </c>
      <c r="B17" s="147"/>
      <c r="C17" s="78"/>
      <c r="D17" s="75"/>
      <c r="E17" s="75"/>
      <c r="F17" s="122"/>
      <c r="G17" s="75"/>
      <c r="H17" s="75"/>
      <c r="I17" s="75"/>
      <c r="J17" s="122"/>
      <c r="K17" s="59"/>
      <c r="L17" s="59"/>
      <c r="M17" s="59"/>
    </row>
    <row r="18" spans="1:13">
      <c r="A18" s="150" t="s">
        <v>26</v>
      </c>
      <c r="B18" s="147"/>
      <c r="C18" s="78"/>
      <c r="D18" s="75"/>
      <c r="E18" s="75"/>
      <c r="F18" s="122"/>
      <c r="G18" s="75"/>
      <c r="H18" s="75"/>
      <c r="I18" s="75"/>
      <c r="J18" s="122"/>
      <c r="K18" s="59"/>
      <c r="L18" s="59"/>
      <c r="M18" s="59"/>
    </row>
    <row r="19" spans="1:13">
      <c r="A19" s="150" t="s">
        <v>27</v>
      </c>
      <c r="B19" s="148"/>
      <c r="C19" s="77"/>
      <c r="D19" s="59"/>
      <c r="E19" s="59"/>
      <c r="F19" s="123"/>
      <c r="G19" s="59"/>
      <c r="H19" s="59"/>
      <c r="I19" s="59"/>
      <c r="J19" s="123"/>
      <c r="K19" s="59"/>
      <c r="L19" s="59"/>
      <c r="M19" s="59"/>
    </row>
    <row r="20" spans="1:13">
      <c r="A20" s="150" t="s">
        <v>28</v>
      </c>
      <c r="B20" s="147"/>
      <c r="C20" s="77"/>
      <c r="D20" s="59"/>
      <c r="E20" s="59"/>
      <c r="F20" s="122"/>
      <c r="G20" s="59"/>
      <c r="H20" s="59"/>
      <c r="I20" s="59"/>
      <c r="J20" s="122"/>
      <c r="K20" s="59"/>
      <c r="L20" s="59"/>
      <c r="M20" s="59"/>
    </row>
    <row r="21" spans="1:13">
      <c r="A21" s="150" t="s">
        <v>29</v>
      </c>
      <c r="B21" s="147"/>
      <c r="C21" s="77"/>
      <c r="D21" s="59"/>
      <c r="E21" s="59"/>
      <c r="F21" s="122"/>
      <c r="G21" s="257"/>
      <c r="H21" s="257"/>
      <c r="I21" s="59"/>
      <c r="J21" s="122"/>
      <c r="K21" s="59"/>
      <c r="L21" s="59"/>
      <c r="M21" s="59"/>
    </row>
    <row r="22" spans="1:13">
      <c r="A22" s="150" t="s">
        <v>30</v>
      </c>
      <c r="B22" s="147"/>
      <c r="C22" s="77"/>
      <c r="D22" s="59"/>
      <c r="E22" s="59"/>
      <c r="F22" s="122"/>
      <c r="G22" s="60"/>
      <c r="H22" s="76"/>
      <c r="I22" s="59"/>
      <c r="J22" s="122"/>
      <c r="K22" s="59"/>
      <c r="L22" s="59"/>
      <c r="M22" s="59"/>
    </row>
    <row r="23" spans="1:13">
      <c r="A23" s="150" t="s">
        <v>31</v>
      </c>
      <c r="B23" s="147"/>
      <c r="C23" s="77"/>
      <c r="D23" s="59"/>
      <c r="E23" s="59"/>
      <c r="F23" s="122"/>
      <c r="G23" s="60"/>
      <c r="H23" s="76"/>
      <c r="I23" s="59"/>
      <c r="J23" s="122"/>
      <c r="K23" s="59"/>
      <c r="L23" s="59"/>
      <c r="M23" s="59"/>
    </row>
    <row r="24" spans="1:13" ht="15.75" thickBot="1">
      <c r="A24" s="151" t="s">
        <v>32</v>
      </c>
      <c r="B24" s="149"/>
      <c r="C24" s="77"/>
      <c r="D24" s="59"/>
      <c r="E24" s="59"/>
      <c r="F24" s="124"/>
      <c r="G24" s="60"/>
      <c r="H24" s="76"/>
      <c r="I24" s="59"/>
      <c r="J24" s="124"/>
      <c r="K24" s="59"/>
      <c r="L24" s="59"/>
      <c r="M24" s="59"/>
    </row>
    <row r="26" spans="1:13" ht="15.75" thickBo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1:13" ht="15.75" thickBot="1">
      <c r="A27" s="59"/>
      <c r="B27" s="59"/>
      <c r="C27" s="59"/>
      <c r="D27" s="59"/>
      <c r="E27" s="59"/>
      <c r="F27" s="59"/>
      <c r="G27" s="59"/>
      <c r="H27" s="59"/>
      <c r="I27" s="185"/>
      <c r="J27" s="183" t="str">
        <f>B2</f>
        <v>District 1</v>
      </c>
      <c r="K27" s="158" t="str">
        <f>F2</f>
        <v>District 2</v>
      </c>
      <c r="L27" s="159" t="str">
        <f>J2</f>
        <v>District 3</v>
      </c>
      <c r="M27" s="59"/>
    </row>
    <row r="28" spans="1:13" ht="37.5" customHeight="1">
      <c r="A28" s="59"/>
      <c r="B28" s="59"/>
      <c r="C28" s="59"/>
      <c r="D28" s="59"/>
      <c r="E28" s="59"/>
      <c r="F28" s="59"/>
      <c r="G28" s="59"/>
      <c r="H28" s="59"/>
      <c r="I28" s="186" t="s">
        <v>33</v>
      </c>
      <c r="J28" s="230">
        <f>'Demand Data'!K11+'Demand Data'!D57</f>
        <v>0</v>
      </c>
      <c r="K28" s="231">
        <f>'Demand Data'!V11+'Demand Data'!E57</f>
        <v>0</v>
      </c>
      <c r="L28" s="232">
        <f>'Demand Data'!F57+'Demand Data'!V23</f>
        <v>0</v>
      </c>
      <c r="M28" s="59"/>
    </row>
    <row r="29" spans="1:13" ht="30">
      <c r="A29" s="59"/>
      <c r="B29" s="59"/>
      <c r="C29" s="59"/>
      <c r="D29" s="59"/>
      <c r="E29" s="59"/>
      <c r="F29" s="59"/>
      <c r="G29" s="59"/>
      <c r="H29" s="59"/>
      <c r="I29" s="187" t="s">
        <v>34</v>
      </c>
      <c r="J29" s="184" t="s">
        <v>35</v>
      </c>
      <c r="K29" s="98" t="s">
        <v>35</v>
      </c>
      <c r="L29" s="182" t="s">
        <v>35</v>
      </c>
      <c r="M29" s="59"/>
    </row>
    <row r="30" spans="1:13" s="59" customFormat="1" ht="60">
      <c r="I30" s="187" t="s">
        <v>36</v>
      </c>
      <c r="J30" s="236"/>
      <c r="K30" s="237"/>
      <c r="L30" s="238"/>
    </row>
    <row r="31" spans="1:13" ht="45.75" thickBot="1">
      <c r="A31" s="59"/>
      <c r="B31" s="59"/>
      <c r="C31" s="59"/>
      <c r="D31" s="59"/>
      <c r="E31" s="59"/>
      <c r="F31" s="59"/>
      <c r="G31" s="59"/>
      <c r="H31" s="59"/>
      <c r="I31" s="188" t="s">
        <v>37</v>
      </c>
      <c r="J31" s="233">
        <f>IF(OR(J30=0, ISBLANK(J30)),J28*VLOOKUP(J29,regionals,2,FALSE),J30+(J28*VLOOKUP(J29,regionals,2,FALSE)))</f>
        <v>0</v>
      </c>
      <c r="K31" s="234">
        <f>IF(OR(K30=0, ISBLANK(K30)),K28*VLOOKUP(K29,regionals,2,FALSE), K30+(K28*VLOOKUP(K29,regionals,2,FALSE)))</f>
        <v>0</v>
      </c>
      <c r="L31" s="235">
        <f>IF(OR(L30=0,ISBLANK(L30)),L28*VLOOKUP(L29,regionals,2,FALSE),L30+(L28*VLOOKUP(L29,regionals,2,FALSE)))</f>
        <v>0</v>
      </c>
      <c r="M31" s="59"/>
    </row>
    <row r="45" spans="1:15">
      <c r="A45" s="59"/>
      <c r="B45" s="59"/>
      <c r="C45" s="59"/>
      <c r="D45" s="59"/>
      <c r="E45" s="59"/>
      <c r="F45" s="59"/>
      <c r="G45" s="59"/>
      <c r="H45" s="59"/>
      <c r="I45" s="61"/>
      <c r="J45" s="61"/>
      <c r="K45" s="59"/>
      <c r="L45" s="59"/>
      <c r="M45" s="59"/>
      <c r="N45" s="59"/>
      <c r="O45" s="59"/>
    </row>
    <row r="46" spans="1:15">
      <c r="A46" s="59"/>
      <c r="B46" s="59"/>
      <c r="C46" s="59"/>
      <c r="D46" s="59"/>
      <c r="E46" s="59"/>
      <c r="F46" s="59"/>
      <c r="G46" s="59"/>
      <c r="H46" s="59"/>
      <c r="I46" s="61"/>
      <c r="J46" s="61"/>
      <c r="K46" s="59"/>
      <c r="L46" s="59"/>
      <c r="M46" s="59"/>
      <c r="N46" s="59"/>
      <c r="O46" s="59"/>
    </row>
    <row r="47" spans="1:15">
      <c r="A47" s="59"/>
      <c r="B47" s="59"/>
      <c r="C47" s="59"/>
      <c r="D47" s="59"/>
      <c r="E47" s="59"/>
      <c r="F47" s="59"/>
      <c r="G47" s="59"/>
      <c r="H47" s="59"/>
      <c r="I47" s="61"/>
      <c r="J47" s="61"/>
      <c r="K47" s="59"/>
      <c r="L47" s="59"/>
      <c r="M47" s="59"/>
      <c r="N47" s="59"/>
      <c r="O47" s="59"/>
    </row>
    <row r="48" spans="1:15">
      <c r="A48" s="59"/>
      <c r="B48" s="59"/>
      <c r="C48" s="59"/>
      <c r="D48" s="59"/>
      <c r="E48" s="59"/>
      <c r="F48" s="61"/>
      <c r="G48" s="61"/>
      <c r="H48" s="61"/>
      <c r="I48" s="61"/>
      <c r="J48" s="61"/>
      <c r="K48" s="59"/>
      <c r="L48" s="59"/>
      <c r="M48" s="59"/>
      <c r="N48" s="59"/>
      <c r="O48" s="59"/>
    </row>
    <row r="49" spans="1:15">
      <c r="A49" s="59"/>
      <c r="B49" s="59"/>
      <c r="C49" s="59"/>
      <c r="D49" s="59"/>
      <c r="E49" s="59"/>
      <c r="F49" s="61"/>
      <c r="G49" s="61"/>
      <c r="H49" s="61"/>
      <c r="I49" s="61"/>
      <c r="J49" s="61"/>
      <c r="K49" s="59"/>
      <c r="L49" s="59"/>
      <c r="M49" s="59"/>
      <c r="N49" s="59"/>
      <c r="O49" s="59"/>
    </row>
    <row r="50" spans="1:15">
      <c r="A50" s="59"/>
      <c r="B50" s="59"/>
      <c r="C50" s="59"/>
      <c r="D50" s="59"/>
      <c r="E50" s="59"/>
      <c r="F50" s="70"/>
      <c r="G50" s="70"/>
      <c r="H50" s="70"/>
      <c r="I50" s="70"/>
      <c r="J50" s="70"/>
      <c r="K50" s="59"/>
      <c r="L50" s="59"/>
      <c r="M50" s="59"/>
      <c r="N50" s="59"/>
      <c r="O50" s="59"/>
    </row>
    <row r="51" spans="1:15">
      <c r="A51" s="6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5">
      <c r="A52" s="6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</row>
    <row r="53" spans="1:15">
      <c r="A53" s="6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</row>
    <row r="54" spans="1:1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</row>
  </sheetData>
  <mergeCells count="9">
    <mergeCell ref="G21:H21"/>
    <mergeCell ref="B3:E3"/>
    <mergeCell ref="F3:I3"/>
    <mergeCell ref="J3:M3"/>
    <mergeCell ref="A1:M1"/>
    <mergeCell ref="B2:E2"/>
    <mergeCell ref="F2:I2"/>
    <mergeCell ref="J2:M2"/>
    <mergeCell ref="A3:A4"/>
  </mergeCells>
  <dataValidations count="1">
    <dataValidation type="list" allowBlank="1" showInputMessage="1" showErrorMessage="1" sqref="J29:L29">
      <formula1>Region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P22"/>
  <sheetViews>
    <sheetView workbookViewId="0">
      <selection activeCell="C7" sqref="C7"/>
    </sheetView>
  </sheetViews>
  <sheetFormatPr defaultRowHeight="15"/>
  <cols>
    <col min="1" max="1" width="49.140625" customWidth="1"/>
    <col min="2" max="3" width="12" bestFit="1" customWidth="1"/>
    <col min="4" max="4" width="12" customWidth="1"/>
    <col min="5" max="5" width="13.42578125" customWidth="1"/>
    <col min="6" max="7" width="12" bestFit="1" customWidth="1"/>
    <col min="8" max="8" width="12" customWidth="1"/>
    <col min="9" max="9" width="12.7109375" customWidth="1"/>
    <col min="10" max="11" width="12" bestFit="1" customWidth="1"/>
    <col min="12" max="12" width="12" customWidth="1"/>
    <col min="13" max="13" width="13.42578125" customWidth="1"/>
  </cols>
  <sheetData>
    <row r="1" spans="1:13" ht="15.75" thickBot="1">
      <c r="A1" s="272" t="s">
        <v>38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4"/>
    </row>
    <row r="2" spans="1:13" ht="15.75" thickBot="1">
      <c r="A2" s="16"/>
      <c r="B2" s="275" t="str">
        <f>Demand!B2</f>
        <v>District 1</v>
      </c>
      <c r="C2" s="275"/>
      <c r="D2" s="275"/>
      <c r="E2" s="276"/>
      <c r="F2" s="277" t="str">
        <f>Demand!F2</f>
        <v>District 2</v>
      </c>
      <c r="G2" s="275"/>
      <c r="H2" s="275"/>
      <c r="I2" s="276"/>
      <c r="J2" s="277" t="str">
        <f>Demand!J2</f>
        <v>District 3</v>
      </c>
      <c r="K2" s="275"/>
      <c r="L2" s="275"/>
      <c r="M2" s="276"/>
    </row>
    <row r="3" spans="1:13" ht="35.25" customHeight="1" thickBot="1">
      <c r="A3" s="169"/>
      <c r="B3" s="191" t="s">
        <v>39</v>
      </c>
      <c r="C3" s="192" t="s">
        <v>40</v>
      </c>
      <c r="D3" s="192" t="s">
        <v>41</v>
      </c>
      <c r="E3" s="196" t="s">
        <v>42</v>
      </c>
      <c r="F3" s="191" t="s">
        <v>39</v>
      </c>
      <c r="G3" s="192" t="s">
        <v>40</v>
      </c>
      <c r="H3" s="192" t="s">
        <v>41</v>
      </c>
      <c r="I3" s="196" t="s">
        <v>42</v>
      </c>
      <c r="J3" s="133" t="s">
        <v>39</v>
      </c>
      <c r="K3" s="134" t="s">
        <v>40</v>
      </c>
      <c r="L3" s="134" t="s">
        <v>41</v>
      </c>
      <c r="M3" s="189" t="s">
        <v>42</v>
      </c>
    </row>
    <row r="4" spans="1:13" ht="15.75" thickBot="1">
      <c r="A4" s="190" t="s">
        <v>43</v>
      </c>
      <c r="B4" s="193">
        <f>(Demand!J31)</f>
        <v>0</v>
      </c>
      <c r="C4" s="194">
        <f>(Demand!J31)</f>
        <v>0</v>
      </c>
      <c r="D4" s="194">
        <f>Demand!J31</f>
        <v>0</v>
      </c>
      <c r="E4" s="195">
        <f>Demand!J31</f>
        <v>0</v>
      </c>
      <c r="F4" s="193">
        <f>(Demand!K31)</f>
        <v>0</v>
      </c>
      <c r="G4" s="194">
        <f>(Demand!K31)</f>
        <v>0</v>
      </c>
      <c r="H4" s="194">
        <f>Demand!K31</f>
        <v>0</v>
      </c>
      <c r="I4" s="195">
        <f>Demand!K31</f>
        <v>0</v>
      </c>
      <c r="J4" s="193">
        <f>(Demand!L31)</f>
        <v>0</v>
      </c>
      <c r="K4" s="194">
        <f>(Demand!L31)</f>
        <v>0</v>
      </c>
      <c r="L4" s="194">
        <f>Demand!L31</f>
        <v>0</v>
      </c>
      <c r="M4" s="195">
        <f>Demand!L31</f>
        <v>0</v>
      </c>
    </row>
    <row r="5" spans="1:13">
      <c r="A5" s="201" t="s">
        <v>44</v>
      </c>
      <c r="B5" s="239"/>
      <c r="C5" s="240"/>
      <c r="D5" s="240"/>
      <c r="E5" s="240"/>
      <c r="F5" s="239"/>
      <c r="G5" s="240"/>
      <c r="H5" s="240"/>
      <c r="I5" s="241"/>
      <c r="J5" s="239"/>
      <c r="K5" s="240"/>
      <c r="L5" s="240"/>
      <c r="M5" s="241"/>
    </row>
    <row r="6" spans="1:13">
      <c r="A6" s="202" t="s">
        <v>45</v>
      </c>
      <c r="B6" s="99">
        <f>VLOOKUP(B4, gascost, 2,TRUE)</f>
        <v>3.07</v>
      </c>
      <c r="C6" s="100">
        <f>VLOOKUP(C4, gascost, 2,TRUE)</f>
        <v>3.07</v>
      </c>
      <c r="D6" s="100">
        <f>VLOOKUP(D4,eleccost,2,TRUE)</f>
        <v>10.44</v>
      </c>
      <c r="E6" s="100">
        <f>VLOOKUP(E4,eleccost,2,TRUE)</f>
        <v>10.44</v>
      </c>
      <c r="F6" s="99">
        <f>VLOOKUP(F4, gascost, 2,TRUE)</f>
        <v>3.07</v>
      </c>
      <c r="G6" s="100">
        <f>VLOOKUP(G4, gascost, 2,TRUE)</f>
        <v>3.07</v>
      </c>
      <c r="H6" s="100">
        <f>VLOOKUP(H4,eleccost,2,TRUE)</f>
        <v>10.44</v>
      </c>
      <c r="I6" s="101">
        <f>VLOOKUP(I4,eleccost,2,TRUE)</f>
        <v>10.44</v>
      </c>
      <c r="J6" s="99">
        <f>VLOOKUP(J4, gascost, 2,TRUE)</f>
        <v>3.07</v>
      </c>
      <c r="K6" s="100">
        <f>VLOOKUP(K4, gascost, 2,TRUE)</f>
        <v>3.07</v>
      </c>
      <c r="L6" s="100">
        <f>VLOOKUP(L4,eleccost,2,TRUE)</f>
        <v>10.44</v>
      </c>
      <c r="M6" s="101">
        <f>VLOOKUP(M4,eleccost,2,TRUE)</f>
        <v>10.44</v>
      </c>
    </row>
    <row r="7" spans="1:13">
      <c r="A7" s="202" t="s">
        <v>46</v>
      </c>
      <c r="B7" s="102">
        <v>3</v>
      </c>
      <c r="C7" s="103">
        <v>0</v>
      </c>
      <c r="D7" s="103">
        <v>0</v>
      </c>
      <c r="E7" s="103">
        <v>0</v>
      </c>
      <c r="F7" s="102">
        <v>0</v>
      </c>
      <c r="G7" s="103">
        <v>0</v>
      </c>
      <c r="H7" s="103">
        <v>0</v>
      </c>
      <c r="I7" s="104">
        <v>0</v>
      </c>
      <c r="J7" s="102">
        <v>0</v>
      </c>
      <c r="K7" s="103">
        <v>0</v>
      </c>
      <c r="L7" s="103">
        <v>0</v>
      </c>
      <c r="M7" s="104">
        <v>0</v>
      </c>
    </row>
    <row r="8" spans="1:13">
      <c r="A8" s="202" t="s">
        <v>47</v>
      </c>
      <c r="B8" s="102">
        <v>5</v>
      </c>
      <c r="C8" s="103">
        <v>8</v>
      </c>
      <c r="D8" s="103">
        <v>14</v>
      </c>
      <c r="E8" s="103">
        <v>12</v>
      </c>
      <c r="F8" s="102">
        <v>5</v>
      </c>
      <c r="G8" s="103">
        <v>8</v>
      </c>
      <c r="H8" s="103">
        <v>14</v>
      </c>
      <c r="I8" s="104">
        <v>12</v>
      </c>
      <c r="J8" s="102">
        <v>5</v>
      </c>
      <c r="K8" s="103">
        <v>8</v>
      </c>
      <c r="L8" s="103">
        <v>14</v>
      </c>
      <c r="M8" s="104">
        <v>12</v>
      </c>
    </row>
    <row r="9" spans="1:13">
      <c r="A9" s="197"/>
      <c r="B9" s="204"/>
      <c r="C9" s="200"/>
      <c r="D9" s="200"/>
      <c r="E9" s="200"/>
      <c r="F9" s="204"/>
      <c r="G9" s="200"/>
      <c r="H9" s="200"/>
      <c r="I9" s="205"/>
      <c r="J9" s="204"/>
      <c r="K9" s="200"/>
      <c r="L9" s="200"/>
      <c r="M9" s="205"/>
    </row>
    <row r="10" spans="1:13">
      <c r="A10" s="198" t="s">
        <v>48</v>
      </c>
      <c r="B10" s="204"/>
      <c r="C10" s="200"/>
      <c r="D10" s="200"/>
      <c r="E10" s="200"/>
      <c r="F10" s="204"/>
      <c r="G10" s="200"/>
      <c r="H10" s="200"/>
      <c r="I10" s="205"/>
      <c r="J10" s="204"/>
      <c r="K10" s="200"/>
      <c r="L10" s="200"/>
      <c r="M10" s="205"/>
    </row>
    <row r="11" spans="1:13">
      <c r="A11" s="202" t="s">
        <v>49</v>
      </c>
      <c r="B11" s="102">
        <v>10</v>
      </c>
      <c r="C11" s="103">
        <v>10</v>
      </c>
      <c r="D11" s="103">
        <v>10</v>
      </c>
      <c r="E11" s="103">
        <v>10</v>
      </c>
      <c r="F11" s="102">
        <v>10</v>
      </c>
      <c r="G11" s="103">
        <v>10</v>
      </c>
      <c r="H11" s="103">
        <v>10</v>
      </c>
      <c r="I11" s="104">
        <v>10</v>
      </c>
      <c r="J11" s="102">
        <v>10</v>
      </c>
      <c r="K11" s="103">
        <v>10</v>
      </c>
      <c r="L11" s="103">
        <v>10</v>
      </c>
      <c r="M11" s="104">
        <v>10</v>
      </c>
    </row>
    <row r="12" spans="1:13">
      <c r="A12" s="202" t="s">
        <v>50</v>
      </c>
      <c r="B12" s="102">
        <v>0.06</v>
      </c>
      <c r="C12" s="103">
        <v>0.06</v>
      </c>
      <c r="D12" s="103">
        <v>0.06</v>
      </c>
      <c r="E12" s="103">
        <v>0.06</v>
      </c>
      <c r="F12" s="102">
        <v>0.06</v>
      </c>
      <c r="G12" s="103">
        <v>0.06</v>
      </c>
      <c r="H12" s="103">
        <v>0.06</v>
      </c>
      <c r="I12" s="104">
        <v>0.06</v>
      </c>
      <c r="J12" s="102">
        <v>0.06</v>
      </c>
      <c r="K12" s="103">
        <v>0.06</v>
      </c>
      <c r="L12" s="103">
        <v>0.06</v>
      </c>
      <c r="M12" s="104">
        <v>0.06</v>
      </c>
    </row>
    <row r="13" spans="1:13">
      <c r="A13" s="202"/>
      <c r="B13" s="204"/>
      <c r="C13" s="200"/>
      <c r="D13" s="200"/>
      <c r="E13" s="200"/>
      <c r="F13" s="204"/>
      <c r="G13" s="200"/>
      <c r="H13" s="200"/>
      <c r="I13" s="205"/>
      <c r="J13" s="204"/>
      <c r="K13" s="200"/>
      <c r="L13" s="200"/>
      <c r="M13" s="205"/>
    </row>
    <row r="14" spans="1:13">
      <c r="A14" s="203" t="s">
        <v>51</v>
      </c>
      <c r="B14" s="204"/>
      <c r="C14" s="200"/>
      <c r="D14" s="200"/>
      <c r="E14" s="200"/>
      <c r="F14" s="204"/>
      <c r="G14" s="200"/>
      <c r="H14" s="200"/>
      <c r="I14" s="205"/>
      <c r="J14" s="204"/>
      <c r="K14" s="200"/>
      <c r="L14" s="200"/>
      <c r="M14" s="205"/>
    </row>
    <row r="15" spans="1:13">
      <c r="A15" s="252" t="s">
        <v>52</v>
      </c>
      <c r="B15" s="99">
        <v>3</v>
      </c>
      <c r="C15" s="100" t="e">
        <f>VLOOKUP(C4,chpmaint,2,TRUE)</f>
        <v>#N/A</v>
      </c>
      <c r="D15" s="100">
        <v>0.5</v>
      </c>
      <c r="E15" s="100">
        <v>0.5</v>
      </c>
      <c r="F15" s="99">
        <v>3</v>
      </c>
      <c r="G15" s="100" t="e">
        <f>VLOOKUP(G4,chpmaint,2,TRUE)</f>
        <v>#N/A</v>
      </c>
      <c r="H15" s="100">
        <v>0.5</v>
      </c>
      <c r="I15" s="101">
        <v>0.5</v>
      </c>
      <c r="J15" s="99">
        <v>3</v>
      </c>
      <c r="K15" s="100" t="e">
        <f>VLOOKUP(K4,chpmaint,2,TRUE)</f>
        <v>#N/A</v>
      </c>
      <c r="L15" s="100">
        <v>0.5</v>
      </c>
      <c r="M15" s="101">
        <v>0.5</v>
      </c>
    </row>
    <row r="16" spans="1:13">
      <c r="A16" s="202" t="s">
        <v>53</v>
      </c>
      <c r="B16" s="105">
        <v>0</v>
      </c>
      <c r="C16" s="106">
        <v>0</v>
      </c>
      <c r="D16" s="106">
        <v>0</v>
      </c>
      <c r="E16" s="106">
        <v>0</v>
      </c>
      <c r="F16" s="105">
        <v>0</v>
      </c>
      <c r="G16" s="106">
        <v>0</v>
      </c>
      <c r="H16" s="106">
        <v>0</v>
      </c>
      <c r="I16" s="107">
        <v>0</v>
      </c>
      <c r="J16" s="105">
        <v>0</v>
      </c>
      <c r="K16" s="106">
        <v>0</v>
      </c>
      <c r="L16" s="106">
        <v>0</v>
      </c>
      <c r="M16" s="107">
        <v>0</v>
      </c>
    </row>
    <row r="17" spans="1:16" ht="15.75" thickBot="1">
      <c r="A17" s="197"/>
      <c r="B17" s="204"/>
      <c r="C17" s="200"/>
      <c r="D17" s="200"/>
      <c r="E17" s="200"/>
      <c r="F17" s="204"/>
      <c r="G17" s="200"/>
      <c r="H17" s="200"/>
      <c r="I17" s="205"/>
      <c r="J17" s="204"/>
      <c r="K17" s="200"/>
      <c r="L17" s="200"/>
      <c r="M17" s="205"/>
      <c r="N17" s="59"/>
      <c r="O17" s="59"/>
      <c r="P17" s="59"/>
    </row>
    <row r="18" spans="1:16" ht="15.75" thickBot="1">
      <c r="A18" s="211" t="s">
        <v>54</v>
      </c>
      <c r="B18" s="204"/>
      <c r="C18" s="200"/>
      <c r="D18" s="200"/>
      <c r="E18" s="200"/>
      <c r="F18" s="204"/>
      <c r="G18" s="200"/>
      <c r="H18" s="200"/>
      <c r="I18" s="205"/>
      <c r="J18" s="204"/>
      <c r="K18" s="200"/>
      <c r="L18" s="200"/>
      <c r="M18" s="205"/>
      <c r="N18" s="59"/>
      <c r="O18" s="59"/>
      <c r="P18" s="59"/>
    </row>
    <row r="19" spans="1:16">
      <c r="A19" s="207" t="s">
        <v>55</v>
      </c>
      <c r="B19" s="208">
        <f t="shared" ref="B19:M19" si="0">B4*B8/100</f>
        <v>0</v>
      </c>
      <c r="C19" s="209">
        <f t="shared" si="0"/>
        <v>0</v>
      </c>
      <c r="D19" s="209">
        <f t="shared" si="0"/>
        <v>0</v>
      </c>
      <c r="E19" s="209">
        <f t="shared" si="0"/>
        <v>0</v>
      </c>
      <c r="F19" s="208">
        <f t="shared" si="0"/>
        <v>0</v>
      </c>
      <c r="G19" s="209">
        <f t="shared" si="0"/>
        <v>0</v>
      </c>
      <c r="H19" s="209">
        <f t="shared" si="0"/>
        <v>0</v>
      </c>
      <c r="I19" s="210">
        <f t="shared" si="0"/>
        <v>0</v>
      </c>
      <c r="J19" s="208">
        <f t="shared" si="0"/>
        <v>0</v>
      </c>
      <c r="K19" s="209">
        <f t="shared" si="0"/>
        <v>0</v>
      </c>
      <c r="L19" s="209">
        <f t="shared" si="0"/>
        <v>0</v>
      </c>
      <c r="M19" s="210">
        <f t="shared" si="0"/>
        <v>0</v>
      </c>
      <c r="N19" s="59"/>
      <c r="O19" s="59"/>
      <c r="P19" s="59"/>
    </row>
    <row r="20" spans="1:16">
      <c r="A20" s="202" t="s">
        <v>56</v>
      </c>
      <c r="B20" s="152">
        <f t="shared" ref="B20:M20" si="1">IF(OR(B7=0,ISBLANK(B7)), B4*B6/100, B4*B7/100)</f>
        <v>0</v>
      </c>
      <c r="C20" s="63">
        <f t="shared" si="1"/>
        <v>0</v>
      </c>
      <c r="D20" s="63">
        <f t="shared" si="1"/>
        <v>0</v>
      </c>
      <c r="E20" s="63">
        <f t="shared" si="1"/>
        <v>0</v>
      </c>
      <c r="F20" s="152">
        <f t="shared" si="1"/>
        <v>0</v>
      </c>
      <c r="G20" s="63">
        <f t="shared" si="1"/>
        <v>0</v>
      </c>
      <c r="H20" s="63">
        <f t="shared" si="1"/>
        <v>0</v>
      </c>
      <c r="I20" s="64">
        <f t="shared" si="1"/>
        <v>0</v>
      </c>
      <c r="J20" s="152">
        <f t="shared" si="1"/>
        <v>0</v>
      </c>
      <c r="K20" s="63">
        <f t="shared" si="1"/>
        <v>0</v>
      </c>
      <c r="L20" s="63">
        <f t="shared" si="1"/>
        <v>0</v>
      </c>
      <c r="M20" s="64">
        <f t="shared" si="1"/>
        <v>0</v>
      </c>
      <c r="N20" s="59"/>
      <c r="O20" s="59"/>
      <c r="P20" s="199"/>
    </row>
    <row r="21" spans="1:16" ht="15.75" thickBot="1">
      <c r="A21" s="202" t="s">
        <v>57</v>
      </c>
      <c r="B21" s="152">
        <f t="shared" ref="B21:M21" si="2">B19-B20-IF(OR(B16=0,ISBLANK(B16)),(B15*(B4*0.000114079553)),(B16*(B4*0.000114079553)))</f>
        <v>0</v>
      </c>
      <c r="C21" s="63" t="e">
        <f t="shared" si="2"/>
        <v>#N/A</v>
      </c>
      <c r="D21" s="63">
        <f t="shared" si="2"/>
        <v>0</v>
      </c>
      <c r="E21" s="63">
        <f t="shared" si="2"/>
        <v>0</v>
      </c>
      <c r="F21" s="152">
        <f t="shared" si="2"/>
        <v>0</v>
      </c>
      <c r="G21" s="63" t="e">
        <f t="shared" si="2"/>
        <v>#N/A</v>
      </c>
      <c r="H21" s="63">
        <f t="shared" si="2"/>
        <v>0</v>
      </c>
      <c r="I21" s="64">
        <f t="shared" si="2"/>
        <v>0</v>
      </c>
      <c r="J21" s="152">
        <f t="shared" si="2"/>
        <v>0</v>
      </c>
      <c r="K21" s="63" t="e">
        <f t="shared" si="2"/>
        <v>#N/A</v>
      </c>
      <c r="L21" s="63">
        <f t="shared" si="2"/>
        <v>0</v>
      </c>
      <c r="M21" s="64">
        <f t="shared" si="2"/>
        <v>0</v>
      </c>
      <c r="N21" s="59"/>
      <c r="O21" s="59"/>
      <c r="P21" s="59"/>
    </row>
    <row r="22" spans="1:16" ht="15.75" thickBot="1">
      <c r="A22" s="153" t="s">
        <v>58</v>
      </c>
      <c r="B22" s="154">
        <f t="shared" ref="B22:M22" si="3">((B21*(((1+B12)^B11)-1))/(B12*((1+B12)^B11)))/1000</f>
        <v>0</v>
      </c>
      <c r="C22" s="155" t="e">
        <f t="shared" si="3"/>
        <v>#N/A</v>
      </c>
      <c r="D22" s="155">
        <f t="shared" si="3"/>
        <v>0</v>
      </c>
      <c r="E22" s="206">
        <f t="shared" si="3"/>
        <v>0</v>
      </c>
      <c r="F22" s="154">
        <f t="shared" si="3"/>
        <v>0</v>
      </c>
      <c r="G22" s="155" t="e">
        <f t="shared" si="3"/>
        <v>#N/A</v>
      </c>
      <c r="H22" s="155">
        <f t="shared" si="3"/>
        <v>0</v>
      </c>
      <c r="I22" s="156">
        <f t="shared" si="3"/>
        <v>0</v>
      </c>
      <c r="J22" s="154">
        <f t="shared" si="3"/>
        <v>0</v>
      </c>
      <c r="K22" s="155" t="e">
        <f t="shared" si="3"/>
        <v>#N/A</v>
      </c>
      <c r="L22" s="155">
        <f t="shared" si="3"/>
        <v>0</v>
      </c>
      <c r="M22" s="156">
        <f t="shared" si="3"/>
        <v>0</v>
      </c>
      <c r="N22" s="59"/>
      <c r="O22" s="59"/>
      <c r="P22" s="59"/>
    </row>
  </sheetData>
  <mergeCells count="4">
    <mergeCell ref="A1:M1"/>
    <mergeCell ref="B2:E2"/>
    <mergeCell ref="F2:I2"/>
    <mergeCell ref="J2:M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118"/>
  <sheetViews>
    <sheetView workbookViewId="0">
      <selection activeCell="G98" sqref="G98"/>
    </sheetView>
  </sheetViews>
  <sheetFormatPr defaultRowHeight="15"/>
  <cols>
    <col min="1" max="1" width="11.28515625" customWidth="1"/>
    <col min="2" max="2" width="22" customWidth="1"/>
    <col min="3" max="3" width="28.28515625" customWidth="1"/>
    <col min="4" max="4" width="27.28515625" customWidth="1"/>
    <col min="5" max="5" width="23.5703125" customWidth="1"/>
    <col min="6" max="6" width="21.85546875" customWidth="1"/>
    <col min="7" max="7" width="24.85546875" customWidth="1"/>
    <col min="8" max="8" width="15.7109375" customWidth="1"/>
  </cols>
  <sheetData>
    <row r="1" spans="1:8" ht="15.75" thickBot="1">
      <c r="A1" s="272" t="s">
        <v>59</v>
      </c>
      <c r="B1" s="273"/>
      <c r="C1" s="273"/>
      <c r="D1" s="273"/>
      <c r="E1" s="273"/>
      <c r="F1" s="273"/>
      <c r="G1" s="273"/>
      <c r="H1" s="274"/>
    </row>
    <row r="2" spans="1:8" s="59" customFormat="1" ht="15.75" thickBot="1">
      <c r="A2" s="169"/>
      <c r="B2" s="273" t="s">
        <v>60</v>
      </c>
      <c r="C2" s="273"/>
      <c r="D2" s="273"/>
      <c r="E2" s="273"/>
      <c r="F2" s="273"/>
      <c r="G2" s="273"/>
      <c r="H2" s="274"/>
    </row>
    <row r="3" spans="1:8" ht="46.5" customHeight="1" thickBot="1">
      <c r="A3" s="168" t="s">
        <v>61</v>
      </c>
      <c r="B3" s="126" t="s">
        <v>62</v>
      </c>
      <c r="C3" s="126" t="s">
        <v>63</v>
      </c>
      <c r="D3" s="220" t="s">
        <v>64</v>
      </c>
      <c r="E3" s="220" t="s">
        <v>65</v>
      </c>
      <c r="F3" s="220" t="s">
        <v>66</v>
      </c>
      <c r="G3" s="220" t="s">
        <v>67</v>
      </c>
      <c r="H3" s="220" t="s">
        <v>68</v>
      </c>
    </row>
    <row r="4" spans="1:8">
      <c r="A4" s="284" t="str">
        <f>Demand!B2</f>
        <v>District 1</v>
      </c>
      <c r="B4" s="221" t="s">
        <v>69</v>
      </c>
      <c r="C4" s="224">
        <f>Demand!J31*$D$18/0.95</f>
        <v>0</v>
      </c>
      <c r="D4" s="224">
        <f>$D$19*Demand!J31/0.95</f>
        <v>0</v>
      </c>
      <c r="E4" s="224">
        <f>$D$20*Demand!J31/0.95</f>
        <v>0</v>
      </c>
      <c r="F4" s="224">
        <f>$D$21*Demand!J31</f>
        <v>0</v>
      </c>
      <c r="G4" s="224">
        <f>$D$22*Demand!J31</f>
        <v>0</v>
      </c>
      <c r="H4" s="227">
        <f>($D$18*Demand!J31)/(0.8*0.95)</f>
        <v>0</v>
      </c>
    </row>
    <row r="5" spans="1:8">
      <c r="A5" s="285"/>
      <c r="B5" s="222" t="s">
        <v>70</v>
      </c>
      <c r="C5" s="225">
        <f>Demand!J31*E18/0.95</f>
        <v>0</v>
      </c>
      <c r="D5" s="225">
        <f>Demand!J31*E19/0.95</f>
        <v>0</v>
      </c>
      <c r="E5" s="225">
        <f>Demand!J31*E20/0.95</f>
        <v>0</v>
      </c>
      <c r="F5" s="225">
        <f>Demand!J31*E21/0.95</f>
        <v>0</v>
      </c>
      <c r="G5" s="225">
        <f>Demand!J31*E22/0.95</f>
        <v>0</v>
      </c>
      <c r="H5" s="228">
        <f>Demand!J31*E18/(0.8*0.95)</f>
        <v>0</v>
      </c>
    </row>
    <row r="6" spans="1:8" ht="15.75" thickBot="1">
      <c r="A6" s="286"/>
      <c r="B6" s="223" t="s">
        <v>71</v>
      </c>
      <c r="C6" s="226">
        <f>Demand!J31*F18/0.95</f>
        <v>0</v>
      </c>
      <c r="D6" s="226">
        <f>Demand!J31*F19/0.95</f>
        <v>0</v>
      </c>
      <c r="E6" s="226">
        <f>Demand!J31*F20/0.95</f>
        <v>0</v>
      </c>
      <c r="F6" s="226">
        <f>Demand!J31*F21/0.95</f>
        <v>0</v>
      </c>
      <c r="G6" s="226">
        <f>Demand!J31*F22/0.95</f>
        <v>0</v>
      </c>
      <c r="H6" s="229">
        <f>Demand!J31*F18/(0.8*0.95)</f>
        <v>0</v>
      </c>
    </row>
    <row r="7" spans="1:8" s="59" customFormat="1">
      <c r="A7" s="284" t="str">
        <f>Demand!F2</f>
        <v>District 2</v>
      </c>
      <c r="B7" s="221" t="s">
        <v>69</v>
      </c>
      <c r="C7" s="224">
        <f>Demand!K31*$D$18/0.95</f>
        <v>0</v>
      </c>
      <c r="D7" s="224">
        <f>Demand!K31*$D$19/0.95</f>
        <v>0</v>
      </c>
      <c r="E7" s="224">
        <f>Demand!K31*$D$20/0.95</f>
        <v>0</v>
      </c>
      <c r="F7" s="224">
        <f>Demand!K31*$D$21/0.95</f>
        <v>0</v>
      </c>
      <c r="G7" s="224">
        <f>Demand!K31*$D$22/0.95</f>
        <v>0</v>
      </c>
      <c r="H7" s="227">
        <f>($D$18*Demand!K31)/(0.8*0.95)</f>
        <v>0</v>
      </c>
    </row>
    <row r="8" spans="1:8" s="59" customFormat="1">
      <c r="A8" s="285"/>
      <c r="B8" s="222" t="s">
        <v>70</v>
      </c>
      <c r="C8" s="225">
        <f>Demand!K31*E18/0.95</f>
        <v>0</v>
      </c>
      <c r="D8" s="225">
        <f>Demand!K31*E19/0.95</f>
        <v>0</v>
      </c>
      <c r="E8" s="225">
        <f>Demand!K31*E20/0.95</f>
        <v>0</v>
      </c>
      <c r="F8" s="225">
        <f>Demand!K31*E21/0.95</f>
        <v>0</v>
      </c>
      <c r="G8" s="225">
        <f>Demand!K31*E22/0.95</f>
        <v>0</v>
      </c>
      <c r="H8" s="228">
        <f>Demand!K31*E18/(0.8*0.95)</f>
        <v>0</v>
      </c>
    </row>
    <row r="9" spans="1:8" s="59" customFormat="1" ht="15.75" thickBot="1">
      <c r="A9" s="286"/>
      <c r="B9" s="223" t="s">
        <v>71</v>
      </c>
      <c r="C9" s="226">
        <f>Demand!K31*F18/0.95</f>
        <v>0</v>
      </c>
      <c r="D9" s="226">
        <f>Demand!K31*F19/0.95</f>
        <v>0</v>
      </c>
      <c r="E9" s="226">
        <f>Demand!K31*F20/0.95</f>
        <v>0</v>
      </c>
      <c r="F9" s="226">
        <f>Demand!K31*F21/0.95</f>
        <v>0</v>
      </c>
      <c r="G9" s="226">
        <f>Demand!K31*F22/0.95</f>
        <v>0</v>
      </c>
      <c r="H9" s="229">
        <f>Demand!K31*F18/(0.8*0.95)</f>
        <v>0</v>
      </c>
    </row>
    <row r="10" spans="1:8" s="59" customFormat="1">
      <c r="A10" s="284" t="str">
        <f>Demand!J2</f>
        <v>District 3</v>
      </c>
      <c r="B10" s="221" t="s">
        <v>69</v>
      </c>
      <c r="C10" s="224">
        <f>Demand!L31*$D$18/0.95</f>
        <v>0</v>
      </c>
      <c r="D10" s="224">
        <f>Demand!L31*$D$19/0.95</f>
        <v>0</v>
      </c>
      <c r="E10" s="224">
        <f>Demand!L31*$D$20/0.95</f>
        <v>0</v>
      </c>
      <c r="F10" s="224">
        <f>Demand!L31*$D$21/0.95</f>
        <v>0</v>
      </c>
      <c r="G10" s="224">
        <f>Demand!L31*$D$22/0.95</f>
        <v>0</v>
      </c>
      <c r="H10" s="227">
        <f>($D$18*Demand!L31)/(0.8*0.95)</f>
        <v>0</v>
      </c>
    </row>
    <row r="11" spans="1:8" s="59" customFormat="1">
      <c r="A11" s="285"/>
      <c r="B11" s="222" t="s">
        <v>70</v>
      </c>
      <c r="C11" s="225">
        <f>Demand!L31*E18/0.95</f>
        <v>0</v>
      </c>
      <c r="D11" s="225">
        <f>Demand!L31*E19/0.95</f>
        <v>0</v>
      </c>
      <c r="E11" s="225">
        <f>Demand!L31*E20/0.95</f>
        <v>0</v>
      </c>
      <c r="F11" s="225">
        <f>Demand!L31*E21/0.95</f>
        <v>0</v>
      </c>
      <c r="G11" s="225">
        <f>Demand!L31*E22/0.95</f>
        <v>0</v>
      </c>
      <c r="H11" s="228">
        <f>Demand!L31*E18/(0.8*0.95)</f>
        <v>0</v>
      </c>
    </row>
    <row r="12" spans="1:8" s="59" customFormat="1" ht="15.75" thickBot="1">
      <c r="A12" s="286"/>
      <c r="B12" s="223" t="s">
        <v>71</v>
      </c>
      <c r="C12" s="226">
        <f>Demand!L31*F18/0.95</f>
        <v>0</v>
      </c>
      <c r="D12" s="226">
        <f>Demand!L31*F19/0.95</f>
        <v>0</v>
      </c>
      <c r="E12" s="226">
        <f>Demand!L31*F20/0.95</f>
        <v>0</v>
      </c>
      <c r="F12" s="226">
        <f>Demand!L31*F21/0.95</f>
        <v>0</v>
      </c>
      <c r="G12" s="226">
        <f>Demand!L31*F22/0.95</f>
        <v>0</v>
      </c>
      <c r="H12" s="229">
        <f>Demand!L31*F18/(0.8*0.95)</f>
        <v>0</v>
      </c>
    </row>
    <row r="13" spans="1:8" s="59" customFormat="1">
      <c r="B13" s="79"/>
    </row>
    <row r="14" spans="1:8" s="59" customFormat="1">
      <c r="B14" s="249"/>
    </row>
    <row r="15" spans="1:8" s="59" customFormat="1">
      <c r="B15" s="249"/>
    </row>
    <row r="16" spans="1:8" s="59" customFormat="1" ht="15.75" thickBot="1">
      <c r="B16" s="73"/>
    </row>
    <row r="17" spans="2:14" ht="15.75" thickBot="1">
      <c r="B17" s="59"/>
      <c r="C17" s="157"/>
      <c r="D17" s="158" t="s">
        <v>72</v>
      </c>
      <c r="E17" s="158" t="s">
        <v>73</v>
      </c>
      <c r="F17" s="159" t="s">
        <v>74</v>
      </c>
      <c r="G17" s="59"/>
      <c r="H17" s="59"/>
      <c r="I17" s="59"/>
      <c r="J17" s="59"/>
      <c r="K17" s="59"/>
      <c r="L17" s="59"/>
      <c r="M17" s="59"/>
      <c r="N17" s="59"/>
    </row>
    <row r="18" spans="2:14">
      <c r="B18" s="59"/>
      <c r="C18" s="165" t="s">
        <v>63</v>
      </c>
      <c r="D18" s="92">
        <v>0.20435</v>
      </c>
      <c r="E18" s="81">
        <v>2.7E-4</v>
      </c>
      <c r="F18" s="82">
        <v>1.1E-4</v>
      </c>
      <c r="G18" s="59"/>
      <c r="H18" s="59"/>
      <c r="I18" s="59"/>
      <c r="J18" s="59"/>
      <c r="K18" s="59"/>
      <c r="L18" s="59"/>
      <c r="M18" s="59"/>
      <c r="N18" s="59"/>
    </row>
    <row r="19" spans="2:14">
      <c r="B19" s="59"/>
      <c r="C19" s="166" t="s">
        <v>75</v>
      </c>
      <c r="D19" s="93">
        <v>1.0000000000000001E-9</v>
      </c>
      <c r="E19" s="80">
        <v>2.4499999999999999E-4</v>
      </c>
      <c r="F19" s="83">
        <f>F20/(E20/E19)</f>
        <v>1.225E-4</v>
      </c>
      <c r="G19" s="59"/>
      <c r="H19" s="59"/>
      <c r="I19" s="59"/>
      <c r="J19" s="59"/>
      <c r="K19" s="59"/>
      <c r="L19" s="59"/>
      <c r="M19" s="59"/>
      <c r="N19" s="59"/>
    </row>
    <row r="20" spans="2:14">
      <c r="B20" s="59"/>
      <c r="C20" s="166" t="s">
        <v>76</v>
      </c>
      <c r="D20" s="93">
        <v>0.35399999999999998</v>
      </c>
      <c r="E20" s="80">
        <v>2.4548476613564057E-4</v>
      </c>
      <c r="F20" s="83">
        <v>1.2274238306782029E-4</v>
      </c>
      <c r="G20" s="59"/>
      <c r="H20" s="59"/>
      <c r="I20" s="59"/>
      <c r="J20" s="59"/>
      <c r="K20" s="59"/>
      <c r="L20" s="59"/>
      <c r="M20" s="59"/>
      <c r="N20" s="59"/>
    </row>
    <row r="21" spans="2:14">
      <c r="B21" s="59"/>
      <c r="C21" s="166" t="s">
        <v>77</v>
      </c>
      <c r="D21" s="93">
        <v>0.58982000000000001</v>
      </c>
      <c r="E21" s="80">
        <v>2.5999999999999998E-4</v>
      </c>
      <c r="F21" s="83">
        <v>3.1700000000000001E-3</v>
      </c>
      <c r="G21" s="59"/>
      <c r="H21" s="59"/>
      <c r="I21" s="59"/>
      <c r="J21" s="59"/>
      <c r="K21" s="59"/>
      <c r="L21" s="59"/>
      <c r="M21" s="59"/>
      <c r="N21" s="59"/>
    </row>
    <row r="22" spans="2:14" ht="15.75" thickBot="1">
      <c r="B22" s="59"/>
      <c r="C22" s="167" t="s">
        <v>78</v>
      </c>
      <c r="D22" s="94">
        <v>5.2500000000000003E-3</v>
      </c>
      <c r="E22" s="84">
        <v>0</v>
      </c>
      <c r="F22" s="85">
        <v>0</v>
      </c>
      <c r="G22" s="59"/>
      <c r="H22" s="59"/>
      <c r="I22" s="59"/>
      <c r="J22" s="59"/>
      <c r="K22" s="59"/>
      <c r="L22" s="59"/>
      <c r="M22" s="59"/>
      <c r="N22" s="59"/>
    </row>
    <row r="23" spans="2:14">
      <c r="B23" s="59"/>
      <c r="C23" s="52" t="s">
        <v>79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2:14">
      <c r="B24" s="59"/>
      <c r="C24" s="53" t="s">
        <v>80</v>
      </c>
      <c r="D24" s="59"/>
      <c r="E24" s="59"/>
      <c r="F24" s="59"/>
      <c r="G24" s="59"/>
      <c r="H24" s="59"/>
      <c r="I24" s="59"/>
      <c r="J24" s="60"/>
      <c r="K24" s="59"/>
      <c r="L24" s="59"/>
      <c r="M24" s="59"/>
      <c r="N24" s="59"/>
    </row>
    <row r="25" spans="2:14">
      <c r="B25" s="59"/>
      <c r="C25" s="52" t="s">
        <v>81</v>
      </c>
      <c r="D25" s="59"/>
      <c r="E25" s="59"/>
      <c r="F25" s="59"/>
      <c r="G25" s="59"/>
      <c r="H25" s="59"/>
      <c r="I25" s="59"/>
      <c r="J25" s="62"/>
      <c r="K25" s="59"/>
      <c r="L25" s="59"/>
      <c r="M25" s="59"/>
      <c r="N25" s="59"/>
    </row>
    <row r="26" spans="2:14">
      <c r="B26" s="59"/>
      <c r="C26" s="69" t="s">
        <v>82</v>
      </c>
      <c r="D26" s="59"/>
      <c r="E26" s="59"/>
      <c r="F26" s="59"/>
      <c r="G26" s="59"/>
      <c r="H26" s="59"/>
      <c r="I26" s="59"/>
      <c r="J26" s="60"/>
      <c r="K26" s="59"/>
      <c r="L26" s="59"/>
      <c r="M26" s="59"/>
      <c r="N26" s="59"/>
    </row>
    <row r="27" spans="2:14">
      <c r="B27" s="59"/>
      <c r="C27" s="52" t="s">
        <v>83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28" spans="2:14">
      <c r="B28" s="59"/>
      <c r="C28" s="52" t="s">
        <v>84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</row>
    <row r="29" spans="2:14">
      <c r="B29" s="59"/>
      <c r="C29" s="59"/>
      <c r="D29" s="59"/>
      <c r="E29" s="59"/>
      <c r="F29" s="59"/>
      <c r="G29" s="59"/>
      <c r="H29" s="59"/>
      <c r="I29" s="59"/>
      <c r="J29" s="59"/>
      <c r="K29" s="60"/>
      <c r="L29" s="59"/>
      <c r="M29" s="59"/>
      <c r="N29" s="60"/>
    </row>
    <row r="30" spans="2:14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62"/>
      <c r="L30" s="59"/>
      <c r="M30" s="59"/>
      <c r="N30" s="62"/>
    </row>
    <row r="31" spans="2:14" ht="15" customHeight="1">
      <c r="B31" s="59"/>
      <c r="C31" s="242"/>
      <c r="D31" s="59"/>
      <c r="E31" s="59"/>
      <c r="F31" s="59"/>
      <c r="G31" s="59"/>
      <c r="H31" s="59"/>
      <c r="I31" s="59"/>
      <c r="J31" s="59"/>
      <c r="K31" s="60"/>
      <c r="L31" s="59"/>
      <c r="M31" s="59"/>
      <c r="N31" s="60"/>
    </row>
    <row r="32" spans="2:14" ht="15" customHeight="1" thickBot="1"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59"/>
      <c r="M32" s="59"/>
      <c r="N32" s="60"/>
    </row>
    <row r="33" spans="2:14" ht="15.75" customHeight="1">
      <c r="B33" s="59"/>
      <c r="C33" s="59"/>
      <c r="D33" s="278" t="s">
        <v>63</v>
      </c>
      <c r="E33" s="59"/>
      <c r="F33" s="59"/>
      <c r="G33" s="59"/>
      <c r="H33" s="59"/>
      <c r="I33" s="59"/>
      <c r="J33" s="59"/>
      <c r="K33" s="62"/>
      <c r="L33" s="59"/>
      <c r="M33" s="59"/>
      <c r="N33" s="62"/>
    </row>
    <row r="34" spans="2:14" ht="15" customHeight="1">
      <c r="B34" s="59"/>
      <c r="C34" s="59"/>
      <c r="D34" s="279"/>
      <c r="E34" s="59"/>
      <c r="F34" s="59"/>
      <c r="G34" s="59"/>
      <c r="H34" s="59"/>
      <c r="I34" s="59"/>
      <c r="J34" s="59"/>
      <c r="K34" s="60"/>
      <c r="L34" s="59"/>
      <c r="M34" s="59"/>
      <c r="N34" s="60"/>
    </row>
    <row r="35" spans="2:14" ht="15" customHeight="1" thickBot="1">
      <c r="B35" s="59"/>
      <c r="C35" s="59"/>
      <c r="D35" s="280"/>
      <c r="E35" s="59"/>
      <c r="F35" s="59"/>
      <c r="G35" s="59"/>
      <c r="H35" s="59"/>
      <c r="I35" s="59"/>
      <c r="J35" s="59"/>
      <c r="K35" s="60"/>
      <c r="L35" s="59"/>
      <c r="M35" s="59"/>
      <c r="N35" s="60"/>
    </row>
    <row r="36" spans="2:14" ht="15" customHeight="1">
      <c r="B36" s="59"/>
      <c r="C36" s="59"/>
      <c r="D36" s="59"/>
      <c r="E36" s="59"/>
      <c r="F36" s="59"/>
      <c r="G36" s="59"/>
      <c r="H36" s="59"/>
      <c r="I36" s="59"/>
      <c r="J36" s="59"/>
      <c r="K36" s="62"/>
      <c r="L36" s="59"/>
      <c r="M36" s="59"/>
      <c r="N36" s="62"/>
    </row>
    <row r="37" spans="2:14"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59"/>
      <c r="M37" s="59"/>
      <c r="N37" s="60"/>
    </row>
    <row r="38" spans="2:14"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59"/>
      <c r="M38" s="59"/>
      <c r="N38" s="60"/>
    </row>
    <row r="39" spans="2:14">
      <c r="B39" s="59"/>
      <c r="C39" s="59"/>
      <c r="D39" s="59"/>
      <c r="E39" s="59"/>
      <c r="F39" s="59"/>
      <c r="G39" s="59"/>
      <c r="H39" s="59"/>
      <c r="I39" s="59"/>
      <c r="J39" s="59"/>
      <c r="K39" s="62"/>
      <c r="L39" s="59"/>
      <c r="M39" s="59"/>
      <c r="N39" s="62"/>
    </row>
    <row r="40" spans="2:14">
      <c r="B40" s="59"/>
      <c r="C40" s="59"/>
      <c r="D40" s="59"/>
      <c r="E40" s="59"/>
      <c r="F40" s="59"/>
      <c r="G40" s="59"/>
      <c r="H40" s="59"/>
      <c r="I40" s="59"/>
      <c r="J40" s="59"/>
      <c r="K40" s="60"/>
      <c r="L40" s="59"/>
      <c r="M40" s="59"/>
      <c r="N40" s="60"/>
    </row>
    <row r="41" spans="2:14">
      <c r="B41" s="59"/>
      <c r="C41" s="59"/>
      <c r="D41" s="59"/>
      <c r="E41" s="59"/>
      <c r="F41" s="59"/>
      <c r="G41" s="59"/>
      <c r="H41" s="59"/>
      <c r="I41" s="59"/>
      <c r="J41" s="59"/>
      <c r="K41" s="60"/>
      <c r="L41" s="59"/>
      <c r="M41" s="59"/>
      <c r="N41" s="60"/>
    </row>
    <row r="42" spans="2:14">
      <c r="B42" s="59"/>
      <c r="C42" s="59"/>
      <c r="D42" s="59"/>
      <c r="E42" s="59"/>
      <c r="F42" s="59"/>
      <c r="G42" s="59"/>
      <c r="H42" s="59"/>
      <c r="I42" s="59"/>
      <c r="J42" s="59"/>
      <c r="K42" s="62"/>
      <c r="L42" s="59"/>
      <c r="M42" s="59"/>
      <c r="N42" s="62"/>
    </row>
    <row r="43" spans="2:14">
      <c r="B43" s="59"/>
      <c r="C43" s="59"/>
      <c r="D43" s="59"/>
      <c r="E43" s="59"/>
      <c r="F43" s="59"/>
      <c r="G43" s="59"/>
      <c r="H43" s="59"/>
      <c r="I43" s="59"/>
      <c r="J43" s="59"/>
      <c r="K43" s="60"/>
      <c r="L43" s="59"/>
      <c r="M43" s="59"/>
      <c r="N43" s="60"/>
    </row>
    <row r="44" spans="2:14">
      <c r="B44" s="59"/>
      <c r="C44" s="59"/>
      <c r="D44" s="59"/>
      <c r="E44" s="59"/>
      <c r="F44" s="59"/>
      <c r="G44" s="59"/>
      <c r="H44" s="59"/>
      <c r="I44" s="59"/>
      <c r="J44" s="59"/>
      <c r="K44" s="60"/>
      <c r="L44" s="59"/>
      <c r="M44" s="59"/>
      <c r="N44" s="60"/>
    </row>
    <row r="45" spans="2:14">
      <c r="B45" s="59"/>
      <c r="C45" s="59"/>
      <c r="D45" s="59"/>
      <c r="E45" s="59"/>
      <c r="F45" s="59"/>
      <c r="G45" s="59"/>
      <c r="H45" s="59"/>
      <c r="I45" s="59"/>
      <c r="J45" s="59"/>
      <c r="K45" s="62"/>
      <c r="L45" s="59"/>
      <c r="M45" s="59"/>
      <c r="N45" s="62"/>
    </row>
    <row r="46" spans="2:14">
      <c r="B46" s="59"/>
      <c r="C46" s="59"/>
      <c r="D46" s="59"/>
      <c r="E46" s="59"/>
      <c r="F46" s="59"/>
      <c r="G46" s="59"/>
      <c r="H46" s="59"/>
      <c r="I46" s="59"/>
      <c r="J46" s="59"/>
      <c r="K46" s="60"/>
      <c r="L46" s="59"/>
      <c r="M46" s="59"/>
      <c r="N46" s="60"/>
    </row>
    <row r="47" spans="2:14">
      <c r="B47" s="59"/>
      <c r="C47" s="59"/>
      <c r="D47" s="59"/>
      <c r="E47" s="59"/>
      <c r="F47" s="59"/>
      <c r="G47" s="59"/>
      <c r="H47" s="59"/>
      <c r="I47" s="59"/>
      <c r="J47" s="59"/>
      <c r="K47" s="60"/>
      <c r="L47" s="59"/>
      <c r="M47" s="59"/>
      <c r="N47" s="60"/>
    </row>
    <row r="48" spans="2:14">
      <c r="B48" s="59"/>
      <c r="C48" s="59"/>
      <c r="D48" s="59"/>
      <c r="E48" s="59"/>
      <c r="F48" s="59"/>
      <c r="G48" s="59"/>
      <c r="H48" s="59"/>
      <c r="I48" s="59"/>
      <c r="J48" s="59"/>
      <c r="K48" s="62"/>
      <c r="L48" s="59"/>
      <c r="M48" s="59"/>
      <c r="N48" s="62"/>
    </row>
    <row r="49" spans="2:14">
      <c r="B49" s="59"/>
      <c r="C49" s="59"/>
      <c r="D49" s="59"/>
      <c r="E49" s="59"/>
      <c r="F49" s="59"/>
      <c r="G49" s="59"/>
      <c r="H49" s="59"/>
      <c r="I49" s="59"/>
      <c r="J49" s="59"/>
      <c r="K49" s="60"/>
      <c r="L49" s="59"/>
      <c r="M49" s="59"/>
      <c r="N49" s="60"/>
    </row>
    <row r="50" spans="2:14">
      <c r="B50" s="59"/>
      <c r="C50" s="59"/>
      <c r="D50" s="59"/>
      <c r="E50" s="59"/>
      <c r="F50" s="59"/>
      <c r="G50" s="59"/>
      <c r="H50" s="59"/>
      <c r="I50" s="59"/>
      <c r="J50" s="59"/>
      <c r="K50" s="60"/>
      <c r="L50" s="59"/>
      <c r="M50" s="59"/>
      <c r="N50" s="60"/>
    </row>
    <row r="51" spans="2:14">
      <c r="B51" s="59"/>
      <c r="C51" s="59"/>
      <c r="D51" s="59"/>
      <c r="E51" s="59"/>
      <c r="F51" s="59"/>
      <c r="G51" s="59"/>
      <c r="H51" s="59"/>
      <c r="I51" s="59"/>
      <c r="J51" s="59"/>
      <c r="K51" s="62"/>
      <c r="L51" s="59"/>
      <c r="M51" s="59"/>
      <c r="N51" s="62"/>
    </row>
    <row r="52" spans="2:14" ht="15.75" thickBot="1">
      <c r="B52" s="59"/>
      <c r="C52" s="59"/>
      <c r="D52" s="59"/>
      <c r="E52" s="59"/>
      <c r="F52" s="59"/>
      <c r="G52" s="59"/>
      <c r="H52" s="59"/>
      <c r="I52" s="59"/>
      <c r="J52" s="59"/>
      <c r="K52" s="60"/>
      <c r="L52" s="59"/>
      <c r="M52" s="59"/>
      <c r="N52" s="60"/>
    </row>
    <row r="53" spans="2:14" ht="15" customHeight="1">
      <c r="B53" s="59"/>
      <c r="C53" s="59"/>
      <c r="D53" s="281" t="s">
        <v>66</v>
      </c>
      <c r="E53" s="59"/>
      <c r="F53" s="59"/>
      <c r="G53" s="59"/>
      <c r="H53" s="59"/>
      <c r="I53" s="59"/>
      <c r="J53" s="59"/>
      <c r="K53" s="60"/>
      <c r="L53" s="59"/>
      <c r="M53" s="59"/>
      <c r="N53" s="60"/>
    </row>
    <row r="54" spans="2:14" ht="15.75" customHeight="1">
      <c r="B54" s="59"/>
      <c r="C54" s="59"/>
      <c r="D54" s="282"/>
      <c r="E54" s="59"/>
      <c r="F54" s="59"/>
      <c r="G54" s="59"/>
      <c r="H54" s="59"/>
      <c r="I54" s="59"/>
      <c r="J54" s="59"/>
      <c r="K54" s="62"/>
      <c r="L54" s="59"/>
      <c r="M54" s="59"/>
      <c r="N54" s="62"/>
    </row>
    <row r="55" spans="2:14" ht="15" customHeight="1">
      <c r="B55" s="59"/>
      <c r="C55" s="59"/>
      <c r="D55" s="282"/>
      <c r="E55" s="59"/>
      <c r="F55" s="59"/>
      <c r="G55" s="59"/>
      <c r="H55" s="59"/>
      <c r="I55" s="59"/>
      <c r="J55" s="59"/>
      <c r="K55" s="60"/>
      <c r="L55" s="59"/>
      <c r="M55" s="59"/>
      <c r="N55" s="60"/>
    </row>
    <row r="56" spans="2:14" ht="19.5" customHeight="1" thickBot="1">
      <c r="B56" s="59"/>
      <c r="C56" s="59"/>
      <c r="D56" s="283"/>
      <c r="E56" s="59"/>
      <c r="F56" s="59"/>
      <c r="G56" s="59"/>
      <c r="H56" s="59"/>
      <c r="I56" s="59"/>
      <c r="J56" s="59"/>
      <c r="K56" s="60"/>
      <c r="L56" s="59"/>
      <c r="M56" s="59"/>
      <c r="N56" s="60"/>
    </row>
    <row r="57" spans="2:14" ht="15.75" customHeight="1">
      <c r="B57" s="59"/>
      <c r="C57" s="59"/>
      <c r="D57" s="59"/>
      <c r="E57" s="59"/>
      <c r="F57" s="59"/>
      <c r="G57" s="59"/>
      <c r="H57" s="59"/>
      <c r="I57" s="59"/>
      <c r="J57" s="59"/>
      <c r="K57" s="62"/>
      <c r="L57" s="59"/>
      <c r="M57" s="59"/>
      <c r="N57" s="62"/>
    </row>
    <row r="58" spans="2:14">
      <c r="B58" s="59"/>
      <c r="C58" s="59"/>
      <c r="D58" s="59"/>
      <c r="E58" s="59"/>
      <c r="F58" s="59"/>
      <c r="G58" s="59"/>
      <c r="H58" s="59"/>
      <c r="I58" s="59"/>
      <c r="J58" s="59"/>
      <c r="K58" s="60"/>
      <c r="L58" s="59"/>
      <c r="M58" s="59"/>
      <c r="N58" s="60"/>
    </row>
    <row r="59" spans="2:14">
      <c r="B59" s="59"/>
      <c r="C59" s="59"/>
      <c r="D59" s="59"/>
      <c r="E59" s="59"/>
      <c r="F59" s="59"/>
      <c r="G59" s="59"/>
      <c r="H59" s="59"/>
      <c r="I59" s="59"/>
      <c r="J59" s="59"/>
      <c r="K59" s="60"/>
      <c r="L59" s="59"/>
      <c r="M59" s="59"/>
      <c r="N59" s="60"/>
    </row>
    <row r="60" spans="2:14">
      <c r="B60" s="59"/>
      <c r="C60" s="59"/>
      <c r="D60" s="59"/>
      <c r="E60" s="59"/>
      <c r="F60" s="59"/>
      <c r="G60" s="59"/>
      <c r="H60" s="59"/>
      <c r="I60" s="59"/>
      <c r="J60" s="59"/>
      <c r="K60" s="62"/>
      <c r="L60" s="59"/>
      <c r="M60" s="59"/>
      <c r="N60" s="62"/>
    </row>
    <row r="61" spans="2:14" ht="15" customHeight="1">
      <c r="B61" s="59"/>
      <c r="C61" s="59"/>
      <c r="D61" s="59"/>
      <c r="E61" s="59"/>
      <c r="F61" s="59"/>
      <c r="G61" s="59"/>
      <c r="H61" s="59"/>
      <c r="I61" s="59"/>
      <c r="J61" s="59"/>
      <c r="K61" s="60"/>
      <c r="L61" s="59"/>
      <c r="M61" s="59"/>
      <c r="N61" s="60"/>
    </row>
    <row r="62" spans="2:14" ht="15" customHeight="1">
      <c r="B62" s="59"/>
      <c r="C62" s="59"/>
      <c r="D62" s="59"/>
      <c r="E62" s="59"/>
      <c r="F62" s="59"/>
      <c r="G62" s="59"/>
      <c r="H62" s="59"/>
      <c r="I62" s="59"/>
      <c r="J62" s="59"/>
      <c r="K62" s="60"/>
      <c r="L62" s="59"/>
      <c r="M62" s="59"/>
      <c r="N62" s="60"/>
    </row>
    <row r="63" spans="2:14" ht="15.75" customHeight="1">
      <c r="B63" s="59"/>
      <c r="C63" s="59"/>
      <c r="D63" s="59"/>
      <c r="E63" s="59"/>
      <c r="F63" s="59"/>
      <c r="G63" s="59"/>
      <c r="H63" s="59"/>
      <c r="I63" s="59"/>
      <c r="J63" s="59"/>
      <c r="K63" s="62"/>
      <c r="L63" s="59"/>
      <c r="M63" s="59"/>
      <c r="N63" s="62"/>
    </row>
    <row r="64" spans="2:14" ht="15" customHeight="1">
      <c r="B64" s="59"/>
      <c r="C64" s="59"/>
      <c r="D64" s="59"/>
      <c r="E64" s="59"/>
      <c r="F64" s="59"/>
      <c r="G64" s="59"/>
      <c r="H64" s="59"/>
      <c r="I64" s="59"/>
      <c r="J64" s="59"/>
      <c r="K64" s="60"/>
      <c r="L64" s="59"/>
      <c r="M64" s="59"/>
      <c r="N64" s="60"/>
    </row>
    <row r="65" spans="2:14" ht="15" customHeight="1">
      <c r="B65" s="59"/>
      <c r="C65" s="59"/>
      <c r="D65" s="59"/>
      <c r="E65" s="59"/>
      <c r="F65" s="59"/>
      <c r="G65" s="59"/>
      <c r="H65" s="59"/>
      <c r="I65" s="59"/>
      <c r="J65" s="59"/>
      <c r="K65" s="60"/>
      <c r="L65" s="59"/>
      <c r="M65" s="59"/>
      <c r="N65" s="60"/>
    </row>
    <row r="66" spans="2:14">
      <c r="B66" s="59"/>
      <c r="C66" s="59"/>
      <c r="D66" s="59"/>
      <c r="E66" s="59"/>
      <c r="F66" s="59"/>
      <c r="G66" s="59"/>
      <c r="H66" s="59"/>
      <c r="I66" s="59"/>
      <c r="J66" s="59"/>
      <c r="K66" s="62"/>
      <c r="L66" s="59"/>
      <c r="M66" s="59"/>
      <c r="N66" s="62"/>
    </row>
    <row r="67" spans="2:14">
      <c r="B67" s="59"/>
      <c r="C67" s="59"/>
      <c r="D67" s="59"/>
      <c r="E67" s="59"/>
      <c r="F67" s="59"/>
      <c r="G67" s="59"/>
      <c r="H67" s="59"/>
      <c r="I67" s="59"/>
      <c r="J67" s="59"/>
      <c r="K67" s="60"/>
      <c r="L67" s="59"/>
      <c r="M67" s="59"/>
      <c r="N67" s="60"/>
    </row>
    <row r="68" spans="2:14">
      <c r="B68" s="59"/>
      <c r="C68" s="59"/>
      <c r="D68" s="59"/>
      <c r="E68" s="59"/>
      <c r="F68" s="59"/>
      <c r="G68" s="59"/>
      <c r="H68" s="59"/>
      <c r="I68" s="59"/>
      <c r="J68" s="59"/>
      <c r="K68" s="60"/>
      <c r="L68" s="59"/>
      <c r="M68" s="59"/>
      <c r="N68" s="60"/>
    </row>
    <row r="69" spans="2:14">
      <c r="B69" s="59"/>
      <c r="C69" s="59"/>
      <c r="D69" s="59"/>
      <c r="E69" s="59"/>
      <c r="F69" s="59"/>
      <c r="G69" s="59"/>
      <c r="H69" s="59"/>
      <c r="I69" s="59"/>
      <c r="J69" s="59"/>
      <c r="K69" s="62"/>
      <c r="L69" s="59"/>
      <c r="M69" s="59"/>
      <c r="N69" s="62"/>
    </row>
    <row r="70" spans="2:14">
      <c r="B70" s="59"/>
      <c r="C70" s="59"/>
      <c r="D70" s="59"/>
      <c r="E70" s="59"/>
      <c r="F70" s="59"/>
      <c r="G70" s="59"/>
      <c r="H70" s="59"/>
      <c r="I70" s="59"/>
      <c r="J70" s="59"/>
      <c r="K70" s="60"/>
      <c r="L70" s="59"/>
      <c r="M70" s="59"/>
      <c r="N70" s="60"/>
    </row>
    <row r="71" spans="2:14">
      <c r="B71" s="59"/>
      <c r="C71" s="59"/>
      <c r="D71" s="59"/>
      <c r="E71" s="59"/>
      <c r="F71" s="59"/>
      <c r="G71" s="59"/>
      <c r="H71" s="59"/>
      <c r="I71" s="59"/>
      <c r="J71" s="59"/>
      <c r="K71" s="60"/>
      <c r="L71" s="59"/>
      <c r="M71" s="59"/>
      <c r="N71" s="60"/>
    </row>
    <row r="72" spans="2:14">
      <c r="B72" s="59"/>
      <c r="C72" s="59"/>
      <c r="D72" s="59"/>
      <c r="E72" s="59"/>
      <c r="F72" s="59"/>
      <c r="G72" s="59"/>
      <c r="H72" s="59"/>
      <c r="I72" s="59"/>
      <c r="J72" s="59"/>
      <c r="K72" s="62"/>
      <c r="L72" s="59"/>
      <c r="M72" s="59"/>
      <c r="N72" s="62"/>
    </row>
    <row r="73" spans="2:14" ht="15.75" thickBot="1">
      <c r="B73" s="59"/>
      <c r="C73" s="59"/>
      <c r="D73" s="59"/>
      <c r="E73" s="59"/>
      <c r="F73" s="59"/>
      <c r="G73" s="59"/>
      <c r="H73" s="59"/>
      <c r="I73" s="59"/>
      <c r="J73" s="59"/>
      <c r="K73" s="60"/>
      <c r="L73" s="59"/>
      <c r="M73" s="59"/>
      <c r="N73" s="60"/>
    </row>
    <row r="74" spans="2:14" ht="15" customHeight="1">
      <c r="B74" s="59"/>
      <c r="C74" s="59"/>
      <c r="D74" s="281" t="s">
        <v>67</v>
      </c>
      <c r="E74" s="59"/>
      <c r="F74" s="59"/>
      <c r="G74" s="59"/>
      <c r="H74" s="59"/>
      <c r="I74" s="59"/>
      <c r="J74" s="59"/>
      <c r="K74" s="60"/>
      <c r="L74" s="59"/>
      <c r="M74" s="59"/>
      <c r="N74" s="60"/>
    </row>
    <row r="75" spans="2:14" ht="15.75" customHeight="1">
      <c r="B75" s="59"/>
      <c r="C75" s="59"/>
      <c r="D75" s="282"/>
      <c r="E75" s="59"/>
      <c r="F75" s="59"/>
      <c r="G75" s="59"/>
      <c r="H75" s="59"/>
      <c r="I75" s="59"/>
      <c r="J75" s="59"/>
      <c r="K75" s="62"/>
      <c r="L75" s="59"/>
      <c r="M75" s="59"/>
      <c r="N75" s="62"/>
    </row>
    <row r="76" spans="2:14" ht="15" customHeight="1">
      <c r="B76" s="59"/>
      <c r="C76" s="59"/>
      <c r="D76" s="282"/>
      <c r="E76" s="59"/>
      <c r="F76" s="59"/>
      <c r="G76" s="59"/>
      <c r="H76" s="59"/>
      <c r="I76" s="59"/>
      <c r="J76" s="59"/>
      <c r="K76" s="60"/>
      <c r="L76" s="59"/>
      <c r="M76" s="59"/>
      <c r="N76" s="60"/>
    </row>
    <row r="77" spans="2:14" ht="21.75" customHeight="1" thickBot="1">
      <c r="B77" s="59"/>
      <c r="C77" s="59"/>
      <c r="D77" s="283"/>
      <c r="E77" s="59"/>
      <c r="F77" s="59"/>
      <c r="G77" s="59"/>
      <c r="H77" s="59"/>
      <c r="I77" s="59"/>
      <c r="J77" s="59"/>
      <c r="K77" s="60"/>
      <c r="L77" s="59"/>
      <c r="M77" s="59"/>
      <c r="N77" s="60"/>
    </row>
    <row r="78" spans="2:14" ht="15.75" customHeight="1">
      <c r="B78" s="59"/>
      <c r="C78" s="59"/>
      <c r="D78" s="59"/>
      <c r="E78" s="59"/>
      <c r="F78" s="59"/>
      <c r="G78" s="59"/>
      <c r="H78" s="59"/>
      <c r="I78" s="59"/>
      <c r="J78" s="59"/>
      <c r="K78" s="62"/>
      <c r="L78" s="59"/>
      <c r="M78" s="59"/>
      <c r="N78" s="62"/>
    </row>
    <row r="79" spans="2:14">
      <c r="B79" s="59"/>
      <c r="C79" s="59"/>
      <c r="D79" s="59"/>
      <c r="E79" s="59"/>
      <c r="F79" s="59"/>
      <c r="G79" s="59"/>
      <c r="H79" s="59"/>
      <c r="I79" s="59"/>
      <c r="J79" s="59"/>
      <c r="K79" s="60"/>
      <c r="L79" s="59"/>
      <c r="M79" s="59"/>
      <c r="N79" s="60"/>
    </row>
    <row r="80" spans="2:14">
      <c r="B80" s="59"/>
      <c r="C80" s="59"/>
      <c r="D80" s="59"/>
      <c r="E80" s="59"/>
      <c r="F80" s="59"/>
      <c r="G80" s="59"/>
      <c r="H80" s="59"/>
      <c r="I80" s="59"/>
      <c r="J80" s="59"/>
      <c r="K80" s="60"/>
      <c r="L80" s="59"/>
      <c r="M80" s="59"/>
      <c r="N80" s="60"/>
    </row>
    <row r="81" spans="2:14">
      <c r="B81" s="59"/>
      <c r="C81" s="59"/>
      <c r="D81" s="59"/>
      <c r="E81" s="59"/>
      <c r="F81" s="59"/>
      <c r="G81" s="59"/>
      <c r="H81" s="59"/>
      <c r="I81" s="59"/>
      <c r="J81" s="59"/>
      <c r="K81" s="62"/>
      <c r="L81" s="59"/>
      <c r="M81" s="59"/>
      <c r="N81" s="62"/>
    </row>
    <row r="82" spans="2:14">
      <c r="B82" s="59"/>
      <c r="C82" s="59"/>
      <c r="D82" s="59"/>
      <c r="E82" s="59"/>
      <c r="F82" s="59"/>
      <c r="G82" s="59"/>
      <c r="H82" s="59"/>
      <c r="I82" s="59"/>
      <c r="J82" s="59"/>
      <c r="K82" s="60"/>
      <c r="L82" s="59"/>
      <c r="M82" s="59"/>
      <c r="N82" s="60"/>
    </row>
    <row r="83" spans="2:14">
      <c r="B83" s="59"/>
      <c r="C83" s="59"/>
      <c r="D83" s="59"/>
      <c r="E83" s="59"/>
      <c r="F83" s="59"/>
      <c r="G83" s="59"/>
      <c r="H83" s="59"/>
      <c r="I83" s="59"/>
      <c r="J83" s="59"/>
      <c r="K83" s="60"/>
      <c r="L83" s="59"/>
      <c r="M83" s="59"/>
      <c r="N83" s="60"/>
    </row>
    <row r="84" spans="2:14">
      <c r="B84" s="59"/>
      <c r="C84" s="59"/>
      <c r="D84" s="59"/>
      <c r="E84" s="59"/>
      <c r="F84" s="59"/>
      <c r="G84" s="59"/>
      <c r="H84" s="59"/>
      <c r="I84" s="59"/>
      <c r="J84" s="59"/>
      <c r="K84" s="62"/>
      <c r="L84" s="59"/>
      <c r="M84" s="59"/>
      <c r="N84" s="62"/>
    </row>
    <row r="85" spans="2:14">
      <c r="B85" s="59"/>
      <c r="C85" s="59"/>
      <c r="D85" s="59"/>
      <c r="E85" s="59"/>
      <c r="F85" s="59"/>
      <c r="G85" s="59"/>
      <c r="H85" s="59"/>
      <c r="I85" s="59"/>
      <c r="J85" s="59"/>
      <c r="K85" s="60"/>
      <c r="L85" s="59"/>
      <c r="M85" s="59"/>
      <c r="N85" s="60"/>
    </row>
    <row r="86" spans="2:14">
      <c r="B86" s="59"/>
      <c r="C86" s="59"/>
      <c r="D86" s="59"/>
      <c r="E86" s="59"/>
      <c r="F86" s="59"/>
      <c r="G86" s="59"/>
      <c r="H86" s="59"/>
      <c r="I86" s="59"/>
      <c r="J86" s="59"/>
      <c r="K86" s="60"/>
      <c r="L86" s="59"/>
      <c r="M86" s="59"/>
      <c r="N86" s="60"/>
    </row>
    <row r="87" spans="2:14">
      <c r="B87" s="59"/>
      <c r="C87" s="59"/>
      <c r="D87" s="59"/>
      <c r="E87" s="59"/>
      <c r="F87" s="59"/>
      <c r="G87" s="59"/>
      <c r="H87" s="59"/>
      <c r="I87" s="59"/>
      <c r="J87" s="59"/>
      <c r="K87" s="62"/>
      <c r="L87" s="59"/>
      <c r="M87" s="59"/>
      <c r="N87" s="62"/>
    </row>
    <row r="88" spans="2:14">
      <c r="B88" s="59"/>
      <c r="C88" s="59"/>
      <c r="D88" s="59"/>
      <c r="E88" s="59"/>
      <c r="F88" s="59"/>
      <c r="G88" s="59"/>
      <c r="H88" s="59"/>
      <c r="I88" s="59"/>
      <c r="J88" s="59"/>
      <c r="K88" s="60"/>
      <c r="L88" s="59"/>
      <c r="M88" s="59"/>
      <c r="N88" s="60"/>
    </row>
    <row r="89" spans="2:14">
      <c r="B89" s="59"/>
      <c r="C89" s="59"/>
      <c r="D89" s="59"/>
      <c r="E89" s="59"/>
      <c r="F89" s="59"/>
      <c r="G89" s="59"/>
      <c r="H89" s="59"/>
      <c r="I89" s="59"/>
      <c r="J89" s="59"/>
      <c r="K89" s="60"/>
      <c r="L89" s="59"/>
      <c r="M89" s="59"/>
      <c r="N89" s="60"/>
    </row>
    <row r="90" spans="2:14">
      <c r="B90" s="59"/>
      <c r="C90" s="59"/>
      <c r="D90" s="59"/>
      <c r="E90" s="59"/>
      <c r="F90" s="59"/>
      <c r="G90" s="59"/>
      <c r="H90" s="59"/>
      <c r="I90" s="59"/>
      <c r="J90" s="59"/>
      <c r="K90" s="62"/>
      <c r="L90" s="59"/>
      <c r="M90" s="59"/>
      <c r="N90" s="62"/>
    </row>
    <row r="91" spans="2:14">
      <c r="B91" s="59"/>
      <c r="C91" s="59"/>
      <c r="D91" s="59"/>
      <c r="E91" s="59"/>
      <c r="F91" s="59"/>
      <c r="G91" s="59"/>
      <c r="H91" s="59"/>
      <c r="I91" s="59"/>
      <c r="J91" s="59"/>
      <c r="K91" s="60"/>
      <c r="L91" s="59"/>
      <c r="M91" s="59"/>
      <c r="N91" s="60"/>
    </row>
    <row r="92" spans="2:14" ht="15" customHeight="1">
      <c r="B92" s="59"/>
      <c r="C92" s="59"/>
      <c r="D92" s="59"/>
      <c r="E92" s="59"/>
      <c r="F92" s="59"/>
      <c r="G92" s="59"/>
      <c r="H92" s="59"/>
      <c r="I92" s="59"/>
      <c r="J92" s="59"/>
      <c r="K92" s="60"/>
      <c r="L92" s="59"/>
      <c r="M92" s="59"/>
      <c r="N92" s="60"/>
    </row>
    <row r="93" spans="2:14" ht="15" customHeight="1">
      <c r="B93" s="59"/>
      <c r="C93" s="59"/>
      <c r="D93" s="59"/>
      <c r="E93" s="59"/>
      <c r="F93" s="59"/>
      <c r="G93" s="59"/>
      <c r="H93" s="59"/>
      <c r="I93" s="59"/>
      <c r="J93" s="59"/>
      <c r="K93" s="62"/>
      <c r="L93" s="59"/>
      <c r="M93" s="59"/>
      <c r="N93" s="62"/>
    </row>
    <row r="94" spans="2:14" ht="15" customHeight="1">
      <c r="B94" s="59"/>
      <c r="C94" s="59"/>
      <c r="D94" s="59"/>
      <c r="E94" s="59"/>
      <c r="F94" s="59"/>
      <c r="G94" s="59"/>
      <c r="H94" s="59"/>
      <c r="I94" s="59"/>
      <c r="J94" s="59"/>
      <c r="K94" s="60"/>
      <c r="L94" s="59"/>
      <c r="M94" s="59"/>
      <c r="N94" s="60"/>
    </row>
    <row r="95" spans="2:14">
      <c r="B95" s="59"/>
      <c r="C95" s="59"/>
      <c r="D95" s="59"/>
      <c r="E95" s="59"/>
      <c r="F95" s="59"/>
      <c r="G95" s="59"/>
      <c r="H95" s="59"/>
      <c r="I95" s="59"/>
      <c r="J95" s="59"/>
      <c r="K95" s="60"/>
      <c r="L95" s="59"/>
      <c r="M95" s="59"/>
      <c r="N95" s="60"/>
    </row>
    <row r="96" spans="2:14" ht="15.75" thickBot="1">
      <c r="B96" s="59"/>
      <c r="C96" s="59"/>
      <c r="D96" s="59"/>
      <c r="E96" s="59"/>
      <c r="F96" s="59"/>
      <c r="G96" s="59"/>
      <c r="H96" s="59"/>
      <c r="I96" s="59"/>
      <c r="J96" s="59"/>
      <c r="K96" s="62"/>
      <c r="L96" s="59"/>
      <c r="M96" s="59"/>
      <c r="N96" s="62"/>
    </row>
    <row r="97" spans="2:14" ht="15.75" customHeight="1">
      <c r="B97" s="59"/>
      <c r="C97" s="59"/>
      <c r="D97" s="278" t="s">
        <v>40</v>
      </c>
      <c r="E97" s="59"/>
      <c r="F97" s="59"/>
      <c r="G97" s="59"/>
      <c r="H97" s="59"/>
      <c r="I97" s="59"/>
      <c r="J97" s="59"/>
      <c r="K97" s="60"/>
      <c r="L97" s="59"/>
      <c r="M97" s="59"/>
      <c r="N97" s="60"/>
    </row>
    <row r="98" spans="2:14" ht="15" customHeight="1">
      <c r="B98" s="59"/>
      <c r="C98" s="59"/>
      <c r="D98" s="279"/>
      <c r="E98" s="59"/>
      <c r="F98" s="59"/>
      <c r="G98" s="59"/>
      <c r="H98" s="59"/>
      <c r="I98" s="59"/>
      <c r="J98" s="59"/>
      <c r="K98" s="60"/>
      <c r="L98" s="59"/>
      <c r="M98" s="59"/>
      <c r="N98" s="60"/>
    </row>
    <row r="99" spans="2:14" ht="15.75" customHeight="1" thickBot="1">
      <c r="B99" s="59"/>
      <c r="C99" s="59"/>
      <c r="D99" s="280"/>
      <c r="E99" s="59"/>
      <c r="F99" s="59"/>
      <c r="G99" s="59"/>
      <c r="H99" s="59"/>
      <c r="I99" s="59"/>
      <c r="J99" s="59"/>
      <c r="K99" s="62"/>
      <c r="L99" s="59"/>
      <c r="M99" s="59"/>
      <c r="N99" s="62"/>
    </row>
    <row r="100" spans="2:14" ht="15.75" customHeight="1">
      <c r="B100" s="59"/>
      <c r="C100" s="59"/>
      <c r="D100" s="59"/>
      <c r="E100" s="59"/>
      <c r="F100" s="59"/>
      <c r="G100" s="59"/>
      <c r="H100" s="59"/>
      <c r="I100" s="59"/>
      <c r="J100" s="59"/>
      <c r="K100" s="60"/>
      <c r="L100" s="59"/>
      <c r="M100" s="59"/>
      <c r="N100" s="60"/>
    </row>
    <row r="101" spans="2:14">
      <c r="B101" s="59"/>
      <c r="C101" s="59"/>
      <c r="D101" s="59"/>
      <c r="E101" s="59"/>
      <c r="F101" s="59"/>
      <c r="G101" s="59"/>
      <c r="H101" s="59"/>
      <c r="I101" s="59"/>
      <c r="J101" s="59"/>
      <c r="K101" s="60"/>
      <c r="L101" s="59"/>
      <c r="M101" s="59"/>
      <c r="N101" s="60"/>
    </row>
    <row r="102" spans="2:14">
      <c r="B102" s="59"/>
      <c r="C102" s="59"/>
      <c r="D102" s="59"/>
      <c r="E102" s="59"/>
      <c r="F102" s="59"/>
      <c r="G102" s="59"/>
      <c r="H102" s="59"/>
      <c r="I102" s="59"/>
      <c r="J102" s="59"/>
      <c r="K102" s="62"/>
      <c r="L102" s="59"/>
      <c r="M102" s="59"/>
      <c r="N102" s="62"/>
    </row>
    <row r="103" spans="2:14">
      <c r="B103" s="59"/>
      <c r="C103" s="59"/>
      <c r="D103" s="59"/>
      <c r="E103" s="59"/>
      <c r="F103" s="59"/>
      <c r="G103" s="59"/>
      <c r="H103" s="59"/>
      <c r="I103" s="59"/>
      <c r="J103" s="59"/>
      <c r="K103" s="60"/>
      <c r="L103" s="59"/>
      <c r="M103" s="59"/>
      <c r="N103" s="60"/>
    </row>
    <row r="104" spans="2:14">
      <c r="B104" s="59"/>
      <c r="C104" s="59"/>
      <c r="D104" s="59"/>
      <c r="E104" s="59"/>
      <c r="F104" s="59"/>
      <c r="G104" s="59"/>
      <c r="H104" s="59"/>
      <c r="I104" s="59"/>
      <c r="J104" s="59"/>
      <c r="K104" s="60"/>
      <c r="L104" s="59"/>
      <c r="M104" s="59"/>
      <c r="N104" s="60"/>
    </row>
    <row r="105" spans="2:14">
      <c r="B105" s="59"/>
      <c r="C105" s="59"/>
      <c r="D105" s="59"/>
      <c r="E105" s="59"/>
      <c r="F105" s="59"/>
      <c r="G105" s="59"/>
      <c r="H105" s="59"/>
      <c r="I105" s="59"/>
      <c r="J105" s="59"/>
      <c r="K105" s="62"/>
      <c r="L105" s="59"/>
      <c r="M105" s="59"/>
      <c r="N105" s="62"/>
    </row>
    <row r="106" spans="2:14">
      <c r="B106" s="59"/>
      <c r="C106" s="59"/>
      <c r="D106" s="59"/>
      <c r="E106" s="59"/>
      <c r="F106" s="59"/>
      <c r="G106" s="59"/>
      <c r="H106" s="59"/>
      <c r="I106" s="59"/>
      <c r="J106" s="59"/>
      <c r="K106" s="60"/>
      <c r="L106" s="59"/>
      <c r="M106" s="59"/>
      <c r="N106" s="60"/>
    </row>
    <row r="107" spans="2:14">
      <c r="B107" s="59"/>
      <c r="C107" s="59"/>
      <c r="D107" s="59"/>
      <c r="E107" s="59"/>
      <c r="F107" s="59"/>
      <c r="G107" s="59"/>
      <c r="H107" s="59"/>
      <c r="I107" s="59"/>
      <c r="J107" s="59"/>
      <c r="K107" s="60"/>
      <c r="L107" s="59"/>
      <c r="M107" s="59"/>
      <c r="N107" s="60"/>
    </row>
    <row r="108" spans="2:14">
      <c r="B108" s="59"/>
      <c r="C108" s="59"/>
      <c r="D108" s="59"/>
      <c r="E108" s="59"/>
      <c r="F108" s="59"/>
      <c r="G108" s="59"/>
      <c r="H108" s="59"/>
      <c r="I108" s="59"/>
      <c r="J108" s="59"/>
      <c r="K108" s="62"/>
      <c r="L108" s="59"/>
      <c r="M108" s="59"/>
      <c r="N108" s="62"/>
    </row>
    <row r="109" spans="2:14">
      <c r="B109" s="59"/>
      <c r="C109" s="59"/>
      <c r="D109" s="59"/>
      <c r="E109" s="59"/>
      <c r="F109" s="59"/>
      <c r="G109" s="59"/>
      <c r="H109" s="59"/>
      <c r="I109" s="59"/>
      <c r="J109" s="59"/>
      <c r="K109" s="60"/>
      <c r="L109" s="59"/>
      <c r="M109" s="59"/>
      <c r="N109" s="60"/>
    </row>
    <row r="110" spans="2:14">
      <c r="B110" s="59"/>
      <c r="C110" s="59"/>
      <c r="D110" s="59"/>
      <c r="E110" s="59"/>
      <c r="F110" s="59"/>
      <c r="G110" s="59"/>
      <c r="H110" s="59"/>
      <c r="I110" s="59"/>
      <c r="J110" s="59"/>
      <c r="K110" s="60"/>
      <c r="L110" s="59"/>
      <c r="M110" s="59"/>
      <c r="N110" s="60"/>
    </row>
    <row r="111" spans="2:14">
      <c r="B111" s="59"/>
      <c r="C111" s="59"/>
      <c r="D111" s="59"/>
      <c r="E111" s="59"/>
      <c r="F111" s="59"/>
      <c r="G111" s="59"/>
      <c r="H111" s="59"/>
      <c r="I111" s="59"/>
      <c r="J111" s="59"/>
      <c r="K111" s="62"/>
      <c r="L111" s="59"/>
      <c r="M111" s="59"/>
      <c r="N111" s="62"/>
    </row>
    <row r="112" spans="2:14">
      <c r="B112" s="59"/>
      <c r="C112" s="59"/>
      <c r="D112" s="59"/>
      <c r="E112" s="59"/>
      <c r="F112" s="59"/>
      <c r="G112" s="59"/>
      <c r="H112" s="59"/>
      <c r="I112" s="59"/>
      <c r="J112" s="59"/>
      <c r="K112" s="60"/>
      <c r="L112" s="59"/>
      <c r="M112" s="59"/>
      <c r="N112" s="60"/>
    </row>
    <row r="113" spans="2:14">
      <c r="B113" s="59"/>
      <c r="C113" s="59"/>
      <c r="D113" s="59"/>
      <c r="E113" s="59"/>
      <c r="F113" s="59"/>
      <c r="G113" s="59"/>
      <c r="H113" s="59"/>
      <c r="I113" s="59"/>
      <c r="J113" s="59"/>
      <c r="K113" s="60"/>
      <c r="L113" s="59"/>
      <c r="M113" s="59"/>
      <c r="N113" s="60"/>
    </row>
    <row r="114" spans="2:14">
      <c r="B114" s="59"/>
      <c r="C114" s="59"/>
      <c r="D114" s="59"/>
      <c r="E114" s="59"/>
      <c r="F114" s="59"/>
      <c r="G114" s="59"/>
      <c r="H114" s="59"/>
      <c r="I114" s="59"/>
      <c r="J114" s="59"/>
      <c r="K114" s="62"/>
      <c r="L114" s="59"/>
      <c r="M114" s="59"/>
      <c r="N114" s="62"/>
    </row>
    <row r="115" spans="2:14">
      <c r="B115" s="59"/>
      <c r="C115" s="59"/>
      <c r="D115" s="59"/>
      <c r="E115" s="59"/>
      <c r="F115" s="59"/>
      <c r="G115" s="59"/>
      <c r="H115" s="59"/>
      <c r="I115" s="59"/>
      <c r="J115" s="59"/>
      <c r="K115" s="60"/>
      <c r="L115" s="59"/>
      <c r="M115" s="59"/>
      <c r="N115" s="60"/>
    </row>
    <row r="116" spans="2:14">
      <c r="B116" s="59"/>
      <c r="C116" s="59"/>
      <c r="D116" s="59"/>
      <c r="E116" s="59"/>
      <c r="F116" s="59"/>
      <c r="G116" s="59"/>
      <c r="H116" s="59"/>
      <c r="I116" s="59"/>
      <c r="J116" s="59"/>
      <c r="K116" s="60"/>
      <c r="L116" s="59"/>
      <c r="M116" s="59"/>
      <c r="N116" s="60"/>
    </row>
    <row r="117" spans="2:14">
      <c r="B117" s="59"/>
      <c r="C117" s="59"/>
      <c r="D117" s="59"/>
      <c r="E117" s="59"/>
      <c r="F117" s="59"/>
      <c r="G117" s="59"/>
      <c r="H117" s="59"/>
      <c r="I117" s="59"/>
      <c r="J117" s="59"/>
      <c r="K117" s="62"/>
      <c r="L117" s="59"/>
      <c r="M117" s="59"/>
      <c r="N117" s="62"/>
    </row>
    <row r="118" spans="2:14"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</row>
  </sheetData>
  <mergeCells count="9">
    <mergeCell ref="D33:D35"/>
    <mergeCell ref="D53:D56"/>
    <mergeCell ref="D74:D77"/>
    <mergeCell ref="D97:D99"/>
    <mergeCell ref="A1:H1"/>
    <mergeCell ref="B2:H2"/>
    <mergeCell ref="A4:A6"/>
    <mergeCell ref="A7:A9"/>
    <mergeCell ref="A10:A12"/>
  </mergeCells>
  <conditionalFormatting sqref="C4:H4">
    <cfRule type="colorScale" priority="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5:H5">
    <cfRule type="colorScale" priority="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6:H6">
    <cfRule type="colorScale" priority="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7:H7">
    <cfRule type="colorScale" priority="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8:H8">
    <cfRule type="colorScale" priority="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9:H9">
    <cfRule type="colorScale" priority="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10:H10">
    <cfRule type="colorScale" priority="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11:H11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12:H12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hyperlinks>
    <hyperlink ref="C26" r:id="rId1"/>
  </hyperlinks>
  <pageMargins left="0.7" right="0.7" top="0.75" bottom="0.75" header="0.3" footer="0.3"/>
  <pageSetup paperSize="9" orientation="portrait" horizontalDpi="4294967293" verticalDpi="4294967293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AX18"/>
  <sheetViews>
    <sheetView topLeftCell="F2" workbookViewId="0">
      <selection activeCell="M17" sqref="M17"/>
    </sheetView>
  </sheetViews>
  <sheetFormatPr defaultRowHeight="15"/>
  <cols>
    <col min="1" max="1" width="24.140625" style="20" customWidth="1"/>
    <col min="2" max="2" width="6.42578125" style="20" customWidth="1"/>
    <col min="3" max="3" width="17" style="20" customWidth="1"/>
    <col min="4" max="4" width="5" style="20" customWidth="1"/>
    <col min="5" max="5" width="34.85546875" style="20" customWidth="1"/>
    <col min="6" max="6" width="5.85546875" style="20" customWidth="1"/>
    <col min="7" max="7" width="28.42578125" style="20" customWidth="1"/>
    <col min="8" max="8" width="5.28515625" style="20" customWidth="1"/>
    <col min="9" max="9" width="21.140625" style="20" customWidth="1"/>
    <col min="10" max="11" width="19.42578125" style="20" customWidth="1"/>
    <col min="12" max="12" width="15.5703125" style="20" customWidth="1"/>
    <col min="13" max="13" width="16.28515625" style="20" customWidth="1"/>
    <col min="14" max="15" width="9.140625" style="20"/>
    <col min="16" max="16" width="14.7109375" style="20" customWidth="1"/>
    <col min="17" max="17" width="11.42578125" style="20" customWidth="1"/>
    <col min="18" max="19" width="9.140625" style="20"/>
    <col min="20" max="20" width="15.140625" style="20" customWidth="1"/>
    <col min="21" max="16384" width="9.140625" style="20"/>
  </cols>
  <sheetData>
    <row r="1" spans="1:50" ht="15.75" thickBot="1">
      <c r="A1" s="287" t="s">
        <v>85</v>
      </c>
      <c r="B1" s="288"/>
      <c r="C1" s="288"/>
      <c r="D1" s="288"/>
      <c r="E1" s="288"/>
      <c r="F1" s="288"/>
      <c r="G1" s="288"/>
      <c r="H1" s="289"/>
      <c r="I1" s="181"/>
    </row>
    <row r="2" spans="1:50" ht="15.75" thickBot="1">
      <c r="A2" s="160" t="s">
        <v>86</v>
      </c>
      <c r="B2" s="173"/>
      <c r="C2" s="172" t="s">
        <v>87</v>
      </c>
      <c r="D2" s="176"/>
      <c r="E2" s="172" t="s">
        <v>88</v>
      </c>
      <c r="F2" s="176"/>
      <c r="G2" s="172" t="s">
        <v>89</v>
      </c>
      <c r="H2" s="40"/>
      <c r="I2" s="39"/>
      <c r="N2" s="111"/>
    </row>
    <row r="3" spans="1:50">
      <c r="A3" s="34" t="s">
        <v>90</v>
      </c>
      <c r="B3" s="174">
        <v>1</v>
      </c>
      <c r="C3" s="39" t="s">
        <v>91</v>
      </c>
      <c r="D3" s="174">
        <v>1</v>
      </c>
      <c r="E3" s="39" t="s">
        <v>92</v>
      </c>
      <c r="F3" s="174">
        <v>0</v>
      </c>
      <c r="G3" s="39" t="s">
        <v>93</v>
      </c>
      <c r="H3" s="174">
        <v>0</v>
      </c>
      <c r="I3" s="39"/>
      <c r="L3" s="29"/>
      <c r="M3" s="27"/>
      <c r="N3" s="111"/>
      <c r="AX3" s="20">
        <v>1</v>
      </c>
    </row>
    <row r="4" spans="1:50">
      <c r="A4" s="34" t="s">
        <v>39</v>
      </c>
      <c r="B4" s="174">
        <v>0</v>
      </c>
      <c r="C4" s="39" t="s">
        <v>94</v>
      </c>
      <c r="D4" s="174">
        <v>0</v>
      </c>
      <c r="E4" s="39" t="s">
        <v>95</v>
      </c>
      <c r="F4" s="174">
        <v>0</v>
      </c>
      <c r="G4" s="39" t="s">
        <v>96</v>
      </c>
      <c r="H4" s="174">
        <v>0</v>
      </c>
      <c r="I4" s="39"/>
      <c r="L4" s="27"/>
      <c r="M4" s="27"/>
      <c r="N4" s="111"/>
      <c r="AX4" s="20">
        <v>2</v>
      </c>
    </row>
    <row r="5" spans="1:50">
      <c r="A5" s="34" t="s">
        <v>40</v>
      </c>
      <c r="B5" s="174">
        <v>0</v>
      </c>
      <c r="C5" s="39"/>
      <c r="D5" s="177"/>
      <c r="E5" s="39" t="s">
        <v>97</v>
      </c>
      <c r="F5" s="174">
        <v>0</v>
      </c>
      <c r="G5" s="39" t="s">
        <v>98</v>
      </c>
      <c r="H5" s="174">
        <v>1</v>
      </c>
      <c r="I5" s="39"/>
      <c r="L5" s="27"/>
      <c r="M5" s="27"/>
      <c r="N5" s="111"/>
      <c r="AX5" s="20">
        <v>3</v>
      </c>
    </row>
    <row r="6" spans="1:50" ht="15.75" thickBot="1">
      <c r="A6" s="35"/>
      <c r="B6" s="36"/>
      <c r="C6" s="219"/>
      <c r="D6" s="218"/>
      <c r="E6" s="37" t="s">
        <v>99</v>
      </c>
      <c r="F6" s="178">
        <v>0</v>
      </c>
      <c r="G6" s="37" t="s">
        <v>100</v>
      </c>
      <c r="H6" s="178">
        <v>0</v>
      </c>
      <c r="I6" s="39"/>
      <c r="L6" s="29"/>
      <c r="M6" s="27"/>
      <c r="N6" s="111"/>
      <c r="AX6" s="20">
        <v>4</v>
      </c>
    </row>
    <row r="7" spans="1:50" ht="16.5" customHeight="1">
      <c r="A7" s="212"/>
      <c r="B7" s="214"/>
      <c r="C7" s="215"/>
      <c r="D7" s="214"/>
      <c r="E7" s="215"/>
      <c r="F7" s="214"/>
      <c r="G7" s="215"/>
      <c r="H7" s="214"/>
      <c r="I7" s="39"/>
      <c r="N7" s="111"/>
      <c r="AX7" s="20">
        <v>5</v>
      </c>
    </row>
    <row r="8" spans="1:50" ht="16.5" customHeight="1" thickBot="1">
      <c r="A8" s="213"/>
      <c r="B8" s="216"/>
      <c r="C8" s="217"/>
      <c r="D8" s="216"/>
      <c r="E8" s="217"/>
      <c r="F8" s="216"/>
      <c r="G8" s="217"/>
      <c r="H8" s="216"/>
      <c r="I8" s="39"/>
      <c r="N8" s="111"/>
      <c r="AX8" s="20">
        <v>6</v>
      </c>
    </row>
    <row r="9" spans="1:50" s="21" customFormat="1" ht="15.75" thickBot="1">
      <c r="A9" s="171"/>
      <c r="B9" s="175" t="str">
        <f>IF(B3=1,"A", IF(B4=1,"B", IF(B5=1,"C","")))</f>
        <v>A</v>
      </c>
      <c r="C9" s="38"/>
      <c r="D9" s="175" t="str">
        <f>IF(D3=1,"D", IF(D4=1,"E", ""))</f>
        <v>D</v>
      </c>
      <c r="E9" s="38"/>
      <c r="F9" s="175" t="str">
        <f>IF(F3=1,"F",IF(F4=1,"G",IF(F5=1,"H",IF(F6=1,"I",""))))</f>
        <v/>
      </c>
      <c r="G9" s="38"/>
      <c r="H9" s="175" t="str">
        <f>IF(H3=1,"K",IF(H4=1,"L",IF(H5=1,"N",IF(H6=1,"O",IF(H7=1, "H","")))))</f>
        <v>N</v>
      </c>
      <c r="I9" s="180" t="s">
        <v>101</v>
      </c>
      <c r="N9" s="111"/>
      <c r="AX9" s="246">
        <v>7</v>
      </c>
    </row>
    <row r="10" spans="1:50">
      <c r="A10" s="179" t="s">
        <v>102</v>
      </c>
      <c r="B10" s="253">
        <f>VLOOKUP(B9,Efficiencies,3,FALSE)</f>
        <v>0.37</v>
      </c>
      <c r="C10" s="108"/>
      <c r="D10" s="253">
        <f>VLOOKUP(D9,Efficiencies,3,FALSE)</f>
        <v>0.99</v>
      </c>
      <c r="E10" s="108"/>
      <c r="F10" s="253">
        <f>IF(F9="",1, VLOOKUP(F9,Efficiencies,3,FALSE))</f>
        <v>1</v>
      </c>
      <c r="G10" s="108"/>
      <c r="H10" s="253">
        <f>IF(H9="",1,VLOOKUP(H9,Efficiencies,3,FALSE))</f>
        <v>3.4</v>
      </c>
      <c r="I10" s="254">
        <f>B10*D10*F10*H10</f>
        <v>1.24542</v>
      </c>
      <c r="N10" s="111"/>
      <c r="AX10" s="20">
        <v>8</v>
      </c>
    </row>
    <row r="11" spans="1:50" ht="15.75" thickBot="1">
      <c r="A11" s="170" t="s">
        <v>103</v>
      </c>
      <c r="B11" s="255">
        <f>VLOOKUP(B9,Efficiencies,4,FALSE)</f>
        <v>0.373</v>
      </c>
      <c r="C11" s="125"/>
      <c r="D11" s="255">
        <f>VLOOKUP(D9,Efficiencies,4,FALSE)</f>
        <v>1</v>
      </c>
      <c r="E11" s="125"/>
      <c r="F11" s="255">
        <f>IF(F9="",1,VLOOKUP(F9,Efficiencies,4,FALSE))</f>
        <v>1</v>
      </c>
      <c r="G11" s="125"/>
      <c r="H11" s="255">
        <f>IF(H9="",1,VLOOKUP(H9,Efficiencies,4,FALSE))</f>
        <v>0.72</v>
      </c>
      <c r="I11" s="256">
        <f>B11*D11*F11*H11</f>
        <v>0.26855999999999997</v>
      </c>
      <c r="N11" s="111"/>
      <c r="AX11" s="20">
        <v>9</v>
      </c>
    </row>
    <row r="12" spans="1:50" ht="15.75" thickBot="1">
      <c r="B12" s="20" t="s">
        <v>104</v>
      </c>
      <c r="N12" s="27"/>
      <c r="AX12" s="20">
        <v>10</v>
      </c>
    </row>
    <row r="13" spans="1:50">
      <c r="A13" s="163" t="s">
        <v>105</v>
      </c>
      <c r="N13" s="27"/>
      <c r="AX13" s="246"/>
    </row>
    <row r="14" spans="1:50" ht="15.75" thickBot="1">
      <c r="A14" s="161" t="s">
        <v>106</v>
      </c>
    </row>
    <row r="15" spans="1:50" ht="15.75" thickBot="1">
      <c r="A15" s="164" t="s">
        <v>107</v>
      </c>
      <c r="N15" s="29"/>
    </row>
    <row r="16" spans="1:50" ht="15.75" thickBot="1">
      <c r="A16" s="161" t="s">
        <v>108</v>
      </c>
      <c r="I16" s="162" t="s">
        <v>109</v>
      </c>
      <c r="J16" s="162" t="s">
        <v>110</v>
      </c>
      <c r="K16" s="162" t="s">
        <v>111</v>
      </c>
      <c r="L16" s="162" t="s">
        <v>112</v>
      </c>
      <c r="M16" s="162" t="s">
        <v>61</v>
      </c>
      <c r="N16" s="29"/>
    </row>
    <row r="17" spans="9:13" ht="15.75" thickBot="1">
      <c r="I17" s="109">
        <f>I10</f>
        <v>1.24542</v>
      </c>
      <c r="J17" s="109">
        <f>I11</f>
        <v>0.26855999999999997</v>
      </c>
      <c r="K17" s="247">
        <f>ExergyData!J35</f>
        <v>10</v>
      </c>
      <c r="L17" s="32">
        <f>ExergyData!J7</f>
        <v>8</v>
      </c>
      <c r="M17" s="110" t="s">
        <v>5</v>
      </c>
    </row>
    <row r="18" spans="9:13" ht="63.75" customHeight="1">
      <c r="I18" s="33" t="str">
        <f>IF(I17&gt;100%, "Heat pump COPs must be considered by user to properly assess energy", "")</f>
        <v>Heat pump COPs must be considered by user to properly assess energy</v>
      </c>
    </row>
  </sheetData>
  <mergeCells count="1">
    <mergeCell ref="A1:H1"/>
  </mergeCells>
  <conditionalFormatting sqref="N2:N11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X3:AX12 K17:L1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3">
    <dataValidation type="list" allowBlank="1" showInputMessage="1" showErrorMessage="1" sqref="A16">
      <formula1>energymix</formula1>
    </dataValidation>
    <dataValidation type="list" allowBlank="1" showInputMessage="1" showErrorMessage="1" sqref="A14">
      <formula1>boilertypes</formula1>
    </dataValidation>
    <dataValidation type="list" allowBlank="1" showInputMessage="1" showErrorMessage="1" sqref="M17">
      <formula1>Districts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B1:T26"/>
  <sheetViews>
    <sheetView workbookViewId="0">
      <selection activeCell="C16" sqref="C16"/>
    </sheetView>
  </sheetViews>
  <sheetFormatPr defaultRowHeight="15"/>
  <cols>
    <col min="2" max="2" width="18.140625" bestFit="1" customWidth="1"/>
    <col min="3" max="3" width="14.7109375" customWidth="1"/>
    <col min="4" max="6" width="11" customWidth="1"/>
    <col min="7" max="7" width="11" bestFit="1" customWidth="1"/>
    <col min="8" max="15" width="11" customWidth="1"/>
    <col min="16" max="16" width="10" bestFit="1" customWidth="1"/>
  </cols>
  <sheetData>
    <row r="1" spans="2:15" ht="15.75" thickBot="1">
      <c r="B1" s="272" t="s">
        <v>113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1"/>
    </row>
    <row r="2" spans="2:15" ht="15.75" thickBot="1">
      <c r="B2" s="295" t="s">
        <v>114</v>
      </c>
      <c r="C2" s="295" t="s">
        <v>115</v>
      </c>
      <c r="D2" s="299" t="str">
        <f>Demand!B2</f>
        <v>District 1</v>
      </c>
      <c r="E2" s="300"/>
      <c r="F2" s="300"/>
      <c r="G2" s="301"/>
      <c r="H2" s="299" t="str">
        <f>Demand!F2</f>
        <v>District 2</v>
      </c>
      <c r="I2" s="300"/>
      <c r="J2" s="300"/>
      <c r="K2" s="301"/>
      <c r="L2" s="292" t="str">
        <f>Demand!J2</f>
        <v>District 3</v>
      </c>
      <c r="M2" s="293"/>
      <c r="N2" s="293"/>
      <c r="O2" s="294"/>
    </row>
    <row r="3" spans="2:15" ht="30.75" customHeight="1" thickBot="1">
      <c r="B3" s="296"/>
      <c r="C3" s="296"/>
      <c r="D3" s="47" t="s">
        <v>39</v>
      </c>
      <c r="E3" s="48" t="s">
        <v>40</v>
      </c>
      <c r="F3" s="48" t="s">
        <v>41</v>
      </c>
      <c r="G3" s="48" t="s">
        <v>42</v>
      </c>
      <c r="H3" s="49" t="s">
        <v>39</v>
      </c>
      <c r="I3" s="50" t="s">
        <v>40</v>
      </c>
      <c r="J3" s="48" t="s">
        <v>41</v>
      </c>
      <c r="K3" s="50" t="s">
        <v>42</v>
      </c>
      <c r="L3" s="49" t="s">
        <v>39</v>
      </c>
      <c r="M3" s="50" t="s">
        <v>40</v>
      </c>
      <c r="N3" s="48" t="s">
        <v>41</v>
      </c>
      <c r="O3" s="51" t="s">
        <v>42</v>
      </c>
    </row>
    <row r="4" spans="2:15">
      <c r="B4" s="72" t="s">
        <v>116</v>
      </c>
      <c r="C4" s="243">
        <v>21.103896103896101</v>
      </c>
      <c r="D4" s="95">
        <v>3</v>
      </c>
      <c r="E4" s="96">
        <v>5</v>
      </c>
      <c r="F4" s="96">
        <v>6</v>
      </c>
      <c r="G4" s="97">
        <v>4</v>
      </c>
      <c r="H4" s="95">
        <v>3</v>
      </c>
      <c r="I4" s="96">
        <v>5</v>
      </c>
      <c r="J4" s="96">
        <v>6</v>
      </c>
      <c r="K4" s="97">
        <v>4</v>
      </c>
      <c r="L4" s="95">
        <v>3</v>
      </c>
      <c r="M4" s="96">
        <v>5</v>
      </c>
      <c r="N4" s="96">
        <v>6</v>
      </c>
      <c r="O4" s="97">
        <v>4</v>
      </c>
    </row>
    <row r="5" spans="2:15" s="59" customFormat="1">
      <c r="B5" s="72" t="s">
        <v>109</v>
      </c>
      <c r="C5" s="243">
        <v>15.584415584415584</v>
      </c>
      <c r="D5" s="86">
        <f ca="1">IF(AND(Efficiencies!$M$17=Demand!$B$2,Efficiencies!$B$4=1,Efficiencies!$A$14="Fossil Fuels"),Efficiencies!K17,'Output Matrix'!D5)</f>
        <v>6</v>
      </c>
      <c r="E5" s="77">
        <f ca="1">IF(AND(Efficiencies!M17=Demand!B2,Efficiencies!B5=1,Efficiencies!A14="Fossil Fuels"),Efficiencies!K17,'Output Matrix'!E5)</f>
        <v>6</v>
      </c>
      <c r="F5" s="77">
        <f ca="1">IF(AND(Efficiencies!M17=Demand!B2,Efficiencies!B3=1,Efficiencies!A16="Current (~fossil fuel)"),Efficiencies!K17,'Output Matrix'!F5)</f>
        <v>2</v>
      </c>
      <c r="G5" s="77">
        <f ca="1">IF(AND(Efficiencies!M17=Demand!B2,Efficiencies!B3=1,Efficiencies!A16="Non-Thermal Renewables"),Efficiencies!K17,'Output Matrix'!G5)</f>
        <v>10</v>
      </c>
      <c r="H5" s="86">
        <f ca="1">IF(AND(Efficiencies!M17=Demand!F2,Efficiencies!B4=1,Efficiencies!A14="Fossil Fuels"),Efficiencies!K17,'Output Matrix'!H5)</f>
        <v>6</v>
      </c>
      <c r="I5" s="87">
        <f ca="1">IF(AND(Efficiencies!M17=Demand!F2,Efficiencies!B5=1,Efficiencies!A14="Fossil Fuels"),Efficiencies!K17,'Output Matrix'!I5)</f>
        <v>6</v>
      </c>
      <c r="J5" s="77">
        <f ca="1">IF(AND(Efficiencies!M17=Demand!F2,Efficiencies!B3=1,Efficiencies!A16="Current (~fossil fuel)"),Efficiencies!K17,'Output Matrix'!J5)</f>
        <v>2</v>
      </c>
      <c r="K5" s="77">
        <f ca="1">IF(AND(Efficiencies!M17=Demand!F2,Efficiencies!B3=1,Efficiencies!A16="Non-Thermal Renewables"),Efficiencies!K17,'Output Matrix'!K5)</f>
        <v>10</v>
      </c>
      <c r="L5" s="86">
        <f ca="1">IF(AND(Efficiencies!M17=Demand!J2,Efficiencies!B4=1,Efficiencies!A14="Fossil Fuels"),Efficiencies!K17,'Output Matrix'!L5)</f>
        <v>6</v>
      </c>
      <c r="M5" s="87">
        <f ca="1">IF(AND(Efficiencies!M17=Demand!J2,Efficiencies!B5=1,Efficiencies!A14="Fossil Fuels"),Efficiencies!K17,'Output Matrix'!M5)</f>
        <v>6</v>
      </c>
      <c r="N5" s="77">
        <f ca="1">IF(AND(Efficiencies!M17=Demand!J2,Efficiencies!B3=1,Efficiencies!A16="Current (~fossil fuel)"),Efficiencies!K17,'Output Matrix'!N5)</f>
        <v>2</v>
      </c>
      <c r="O5" s="6">
        <f>IF(AND(Efficiencies!M17=Demand!J2,Efficiencies!B3=1,Efficiencies!A16="Non-Thermal Renewables"),Efficiencies!K17,'Output Matrix'!O5)</f>
        <v>10</v>
      </c>
    </row>
    <row r="6" spans="2:15">
      <c r="B6" s="72" t="s">
        <v>110</v>
      </c>
      <c r="C6" s="243">
        <v>6.8181818181818175</v>
      </c>
      <c r="D6" s="86">
        <f ca="1">IF(AND(Efficiencies!M17=Demand!B2,Efficiencies!B4=1,Efficiencies!A14="Fossil Fuels"),Efficiencies!L17,'Output Matrix'!D6)</f>
        <v>3</v>
      </c>
      <c r="E6" s="77">
        <f ca="1">IF(AND(Efficiencies!M17=Demand!B2,Efficiencies!B5=1,Efficiencies!A14="Fossil Fuels"),Efficiencies!L17,'Output Matrix'!E6)</f>
        <v>4</v>
      </c>
      <c r="F6" s="77">
        <f ca="1">IF(AND(Efficiencies!M17=Demand!B2,Efficiencies!B3=1,Efficiencies!A16="Current (~fossil fuel)"),Efficiencies!L17,'Output Matrix'!F6)</f>
        <v>5</v>
      </c>
      <c r="G6" s="77">
        <f ca="1">IF(AND(Efficiencies!M17=Demand!B2,Efficiencies!B3=1,Efficiencies!A16="Non-Thermal Renewables"),Efficiencies!L17,'Output Matrix'!G6)</f>
        <v>8</v>
      </c>
      <c r="H6" s="86">
        <f ca="1">IF(AND(Efficiencies!M17=Demand!F2,Efficiencies!B4=1,Efficiencies!A14="Fossil Fuels"),Efficiencies!L17,'Output Matrix'!H6)</f>
        <v>3</v>
      </c>
      <c r="I6" s="87">
        <f ca="1">IF(AND(Efficiencies!M17=Demand!F2,Efficiencies!B5=1,Efficiencies!A14="Fossil Fuels"),Efficiencies!L17,'Output Matrix'!I6)</f>
        <v>4</v>
      </c>
      <c r="J6" s="77">
        <f ca="1">IF(AND(Efficiencies!M17=Demand!F2,Efficiencies!B3=1,Efficiencies!A16="Current (~fossil fuel)"),Efficiencies!L17,'Output Matrix'!J6)</f>
        <v>5</v>
      </c>
      <c r="K6" s="77">
        <f ca="1">IF(AND(Efficiencies!M17=Demand!F2,Efficiencies!B3=1,Efficiencies!A16="Non-Thermal Renewables"),Efficiencies!L17,'Output Matrix'!K6)</f>
        <v>8</v>
      </c>
      <c r="L6" s="86">
        <f ca="1">IF(AND(Efficiencies!M17=Demand!J2,Efficiencies!B4=1,Efficiencies!A14="Fossil Fuels"),Efficiencies!L17,'Output Matrix'!L6)</f>
        <v>3</v>
      </c>
      <c r="M6" s="87">
        <f ca="1">IF(AND(Efficiencies!M17=Demand!J2,Efficiencies!B5=1,Efficiencies!A14="Fossil Fuels"),Efficiencies!L17,'Output Matrix'!M6)</f>
        <v>3</v>
      </c>
      <c r="N6" s="77">
        <f ca="1">IF(AND(Efficiencies!M17=Demand!J2,Efficiencies!B3=1,Efficiencies!A16="Current (~fossil fuel)"),Efficiencies!L17,'Output Matrix'!N6)</f>
        <v>5</v>
      </c>
      <c r="O6" s="6">
        <f>IF(AND(Efficiencies!M17=Demand!J2,Efficiencies!B3=1,Efficiencies!A16="Non-Thermal Renewables"),Efficiencies!L17,'Output Matrix'!O6)</f>
        <v>8</v>
      </c>
    </row>
    <row r="7" spans="2:15">
      <c r="B7" s="72" t="s">
        <v>117</v>
      </c>
      <c r="C7" s="243">
        <v>9.0909090909090917</v>
      </c>
      <c r="D7" s="86">
        <v>6</v>
      </c>
      <c r="E7" s="77">
        <v>5</v>
      </c>
      <c r="F7" s="77">
        <v>3</v>
      </c>
      <c r="G7" s="6">
        <v>10</v>
      </c>
      <c r="H7" s="86">
        <v>6</v>
      </c>
      <c r="I7" s="77">
        <v>5</v>
      </c>
      <c r="J7" s="77">
        <v>3</v>
      </c>
      <c r="K7" s="6">
        <v>10</v>
      </c>
      <c r="L7" s="86">
        <v>6</v>
      </c>
      <c r="M7" s="77">
        <v>5</v>
      </c>
      <c r="N7" s="77">
        <v>3</v>
      </c>
      <c r="O7" s="6">
        <v>10</v>
      </c>
    </row>
    <row r="8" spans="2:15">
      <c r="B8" s="72" t="s">
        <v>118</v>
      </c>
      <c r="C8" s="243">
        <v>15.259740259740258</v>
      </c>
      <c r="D8" s="86">
        <v>8</v>
      </c>
      <c r="E8" s="87">
        <v>9</v>
      </c>
      <c r="F8" s="87">
        <v>5</v>
      </c>
      <c r="G8" s="88">
        <v>8</v>
      </c>
      <c r="H8" s="86">
        <v>8</v>
      </c>
      <c r="I8" s="87">
        <v>9</v>
      </c>
      <c r="J8" s="87">
        <v>5</v>
      </c>
      <c r="K8" s="88">
        <v>8</v>
      </c>
      <c r="L8" s="86">
        <v>8</v>
      </c>
      <c r="M8" s="87">
        <v>9</v>
      </c>
      <c r="N8" s="87">
        <v>5</v>
      </c>
      <c r="O8" s="88">
        <v>8</v>
      </c>
    </row>
    <row r="9" spans="2:15" s="59" customFormat="1">
      <c r="B9" s="72" t="s">
        <v>119</v>
      </c>
      <c r="C9" s="243">
        <v>12.662337662337661</v>
      </c>
      <c r="D9" s="86">
        <v>8</v>
      </c>
      <c r="E9" s="87">
        <v>10</v>
      </c>
      <c r="F9" s="87">
        <v>3</v>
      </c>
      <c r="G9" s="88">
        <v>3</v>
      </c>
      <c r="H9" s="86">
        <v>8</v>
      </c>
      <c r="I9" s="87">
        <v>10</v>
      </c>
      <c r="J9" s="87">
        <v>3</v>
      </c>
      <c r="K9" s="88">
        <v>3</v>
      </c>
      <c r="L9" s="86">
        <v>8</v>
      </c>
      <c r="M9" s="87">
        <v>10</v>
      </c>
      <c r="N9" s="87">
        <v>3</v>
      </c>
      <c r="O9" s="88">
        <v>3</v>
      </c>
    </row>
    <row r="10" spans="2:15" ht="15.75" thickBot="1">
      <c r="B10" s="72" t="s">
        <v>120</v>
      </c>
      <c r="C10" s="243">
        <v>19.480519480519483</v>
      </c>
      <c r="D10" s="86">
        <v>7</v>
      </c>
      <c r="E10" s="87">
        <v>8</v>
      </c>
      <c r="F10" s="87">
        <v>5</v>
      </c>
      <c r="G10" s="88">
        <v>7</v>
      </c>
      <c r="H10" s="86">
        <v>7</v>
      </c>
      <c r="I10" s="87">
        <v>8</v>
      </c>
      <c r="J10" s="87">
        <v>5</v>
      </c>
      <c r="K10" s="88">
        <v>7</v>
      </c>
      <c r="L10" s="89">
        <v>7</v>
      </c>
      <c r="M10" s="90">
        <v>8</v>
      </c>
      <c r="N10" s="90">
        <v>5</v>
      </c>
      <c r="O10" s="91">
        <v>7</v>
      </c>
    </row>
    <row r="11" spans="2:15" ht="15.75" thickBot="1">
      <c r="B11" s="297" t="s">
        <v>121</v>
      </c>
      <c r="C11" s="298"/>
      <c r="D11" s="244">
        <f ca="1">($C$4*D4+$C$5*D5+$C$6*D6+$C$7*D7+$C$8*D8+$C$9*D9+$C$10*D10)/100</f>
        <v>5.9155844155844157</v>
      </c>
      <c r="E11" s="244">
        <f ca="1">($C$4*E4+$C$5*E5+$C$6*E6+$C$7*E7+$C$8*E8+$C$9*E9+$C$10*E10)/100</f>
        <v>6.9155844155844148</v>
      </c>
      <c r="F11" s="244">
        <f ca="1">($C$4*F4+$C$5*F5+$C$6*F6+$C$7*F7+$C$8*F8+$C$9*F9+$C$10*F10)/100</f>
        <v>4.3084415584415581</v>
      </c>
      <c r="G11" s="244">
        <f t="shared" ref="G11:O11" ca="1" si="0">($C$4*G4+$C$5*G5+$C$6*G6+$C$7*G7+$C$8*G8+$C$9*G9+$C$10*G10)/100</f>
        <v>6.8214285714285721</v>
      </c>
      <c r="H11" s="244">
        <f t="shared" ca="1" si="0"/>
        <v>5.9155844155844157</v>
      </c>
      <c r="I11" s="244">
        <f t="shared" ca="1" si="0"/>
        <v>6.9155844155844148</v>
      </c>
      <c r="J11" s="244">
        <f t="shared" ca="1" si="0"/>
        <v>4.3084415584415581</v>
      </c>
      <c r="K11" s="244">
        <f t="shared" ca="1" si="0"/>
        <v>6.8214285714285721</v>
      </c>
      <c r="L11" s="244">
        <f t="shared" ca="1" si="0"/>
        <v>5.9155844155844157</v>
      </c>
      <c r="M11" s="244">
        <f t="shared" ca="1" si="0"/>
        <v>6.8474025974025974</v>
      </c>
      <c r="N11" s="244">
        <f t="shared" ca="1" si="0"/>
        <v>4.3084415584415581</v>
      </c>
      <c r="O11" s="245">
        <f t="shared" si="0"/>
        <v>6.8214285714285721</v>
      </c>
    </row>
    <row r="26" spans="20:20">
      <c r="T26" s="60"/>
    </row>
  </sheetData>
  <mergeCells count="7">
    <mergeCell ref="B1:O1"/>
    <mergeCell ref="L2:O2"/>
    <mergeCell ref="B2:B3"/>
    <mergeCell ref="C2:C3"/>
    <mergeCell ref="B11:C11"/>
    <mergeCell ref="D2:G2"/>
    <mergeCell ref="H2:K2"/>
  </mergeCells>
  <conditionalFormatting sqref="D4:O10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4:O1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N35"/>
  <sheetViews>
    <sheetView topLeftCell="C16" workbookViewId="0">
      <selection activeCell="N33" sqref="N33"/>
    </sheetView>
  </sheetViews>
  <sheetFormatPr defaultRowHeight="15"/>
  <cols>
    <col min="1" max="1" width="6.5703125" style="20" customWidth="1"/>
    <col min="2" max="2" width="32.5703125" style="20" customWidth="1"/>
    <col min="3" max="3" width="20.5703125" style="20" customWidth="1"/>
    <col min="4" max="4" width="17.7109375" style="20" customWidth="1"/>
    <col min="5" max="9" width="9.140625" style="20"/>
    <col min="10" max="10" width="19.140625" style="20" customWidth="1"/>
    <col min="11" max="11" width="27.140625" style="20" customWidth="1"/>
    <col min="12" max="12" width="9.140625" style="20"/>
    <col min="13" max="13" width="15.85546875" style="20" customWidth="1"/>
    <col min="14" max="16384" width="9.140625" style="20"/>
  </cols>
  <sheetData>
    <row r="1" spans="1:14">
      <c r="A1" s="18" t="s">
        <v>122</v>
      </c>
      <c r="B1" s="19" t="s">
        <v>123</v>
      </c>
      <c r="C1" s="19" t="s">
        <v>124</v>
      </c>
      <c r="D1" s="19" t="s">
        <v>125</v>
      </c>
      <c r="J1" s="21" t="s">
        <v>126</v>
      </c>
      <c r="K1" s="21" t="s">
        <v>127</v>
      </c>
    </row>
    <row r="2" spans="1:14" ht="31.5" customHeight="1">
      <c r="A2" s="20" t="s">
        <v>128</v>
      </c>
      <c r="B2" s="22" t="s">
        <v>129</v>
      </c>
      <c r="C2" s="23">
        <v>0.83</v>
      </c>
      <c r="D2" s="24">
        <v>0.27</v>
      </c>
      <c r="J2" s="20" t="s">
        <v>106</v>
      </c>
      <c r="K2" s="20" t="s">
        <v>130</v>
      </c>
    </row>
    <row r="3" spans="1:14" ht="34.5" customHeight="1">
      <c r="A3" s="20" t="s">
        <v>131</v>
      </c>
      <c r="B3" s="22" t="s">
        <v>132</v>
      </c>
      <c r="C3" s="23">
        <v>0.83</v>
      </c>
      <c r="D3" s="23">
        <v>0.73</v>
      </c>
      <c r="J3" s="20" t="s">
        <v>133</v>
      </c>
      <c r="K3" s="20" t="s">
        <v>134</v>
      </c>
    </row>
    <row r="4" spans="1:14">
      <c r="A4" s="20" t="s">
        <v>135</v>
      </c>
      <c r="B4" s="25" t="s">
        <v>136</v>
      </c>
      <c r="C4" s="23">
        <v>0.37</v>
      </c>
      <c r="D4" s="26">
        <v>0.373</v>
      </c>
      <c r="K4" s="20" t="s">
        <v>137</v>
      </c>
    </row>
    <row r="5" spans="1:14">
      <c r="A5" s="20" t="s">
        <v>138</v>
      </c>
      <c r="B5" s="25" t="s">
        <v>139</v>
      </c>
      <c r="C5" s="23">
        <v>0.95</v>
      </c>
      <c r="D5" s="26">
        <v>0.16600000000000001</v>
      </c>
      <c r="K5" s="246" t="s">
        <v>108</v>
      </c>
    </row>
    <row r="6" spans="1:14" ht="32.25" customHeight="1">
      <c r="A6" s="20" t="s">
        <v>140</v>
      </c>
      <c r="B6" s="22" t="s">
        <v>141</v>
      </c>
      <c r="C6" s="23">
        <v>3.4</v>
      </c>
      <c r="D6" s="23">
        <v>0.72</v>
      </c>
      <c r="G6" s="20" t="s">
        <v>142</v>
      </c>
      <c r="H6" s="27">
        <f>Efficiencies!I11</f>
        <v>0.26855999999999997</v>
      </c>
    </row>
    <row r="7" spans="1:14" ht="29.25" customHeight="1">
      <c r="A7" s="20" t="s">
        <v>143</v>
      </c>
      <c r="B7" s="22" t="s">
        <v>144</v>
      </c>
      <c r="C7" s="23">
        <v>1.68</v>
      </c>
      <c r="D7" s="26">
        <v>0.59770000000000001</v>
      </c>
      <c r="G7" s="246" t="s">
        <v>145</v>
      </c>
      <c r="H7" s="27">
        <f>Efficiencies!I17</f>
        <v>1.24542</v>
      </c>
      <c r="I7" s="20" t="s">
        <v>146</v>
      </c>
      <c r="J7" s="20">
        <f>IF(I8="Current (~fossil fuel)",VLOOKUP(H6,Index,2,TRUE),IF(I8="Fossil Fuels",VLOOKUP(H6,Index,2,TRUE),IF(I8="Biofuel",VLOOKUP(H6,Index,3,TRUE),IF(I8="50:50 mix",VLOOKUP(H6,Index,4,TRUE),IF(I8="No Fossil, Combustion Based",VLOOKUP(H6,Index,5,TRUE),IF(I8="Non-Thermal Renewables",VLOOKUP(H6,Index,6,TRUE),""))))))</f>
        <v>8</v>
      </c>
    </row>
    <row r="8" spans="1:14">
      <c r="A8" s="20" t="s">
        <v>147</v>
      </c>
      <c r="B8" s="22" t="s">
        <v>148</v>
      </c>
      <c r="C8" s="23">
        <v>0.85</v>
      </c>
      <c r="D8" s="26">
        <v>0.309</v>
      </c>
      <c r="I8" s="20" t="str">
        <f>IF(Efficiencies!B3=1,Efficiencies!A16,Efficiencies!A14)</f>
        <v>Non-Thermal Renewables</v>
      </c>
    </row>
    <row r="9" spans="1:14">
      <c r="A9" s="20" t="s">
        <v>149</v>
      </c>
      <c r="B9" s="28" t="s">
        <v>91</v>
      </c>
      <c r="C9" s="29">
        <v>0.99</v>
      </c>
      <c r="D9" s="29">
        <v>1</v>
      </c>
      <c r="I9" s="21" t="s">
        <v>103</v>
      </c>
      <c r="J9" s="21" t="s">
        <v>150</v>
      </c>
      <c r="K9" s="21" t="s">
        <v>151</v>
      </c>
      <c r="L9" s="30" t="s">
        <v>152</v>
      </c>
      <c r="M9" s="21" t="s">
        <v>153</v>
      </c>
      <c r="N9" s="21" t="s">
        <v>154</v>
      </c>
    </row>
    <row r="10" spans="1:14">
      <c r="A10" s="20" t="s">
        <v>155</v>
      </c>
      <c r="B10" s="28" t="s">
        <v>156</v>
      </c>
      <c r="C10" s="29">
        <v>0.95</v>
      </c>
      <c r="D10" s="29">
        <v>0.74</v>
      </c>
      <c r="I10" s="31">
        <v>2.7E-2</v>
      </c>
      <c r="J10" s="20">
        <v>1</v>
      </c>
      <c r="K10" s="20">
        <f>J10+2</f>
        <v>3</v>
      </c>
      <c r="L10" s="20">
        <v>2</v>
      </c>
      <c r="M10" s="20">
        <f t="shared" ref="M10:N19" si="0">L10+1</f>
        <v>3</v>
      </c>
      <c r="N10" s="20">
        <f t="shared" si="0"/>
        <v>4</v>
      </c>
    </row>
    <row r="11" spans="1:14">
      <c r="A11" s="20" t="s">
        <v>157</v>
      </c>
      <c r="B11" s="28" t="s">
        <v>99</v>
      </c>
      <c r="C11" s="29">
        <v>0.8</v>
      </c>
      <c r="D11" s="29">
        <v>0.5</v>
      </c>
      <c r="I11" s="31">
        <v>5.3999999999999999E-2</v>
      </c>
      <c r="J11" s="20">
        <v>2</v>
      </c>
      <c r="K11" s="20">
        <f t="shared" ref="K11:K19" si="1">J11+2</f>
        <v>4</v>
      </c>
      <c r="L11" s="20">
        <v>3</v>
      </c>
      <c r="M11" s="20">
        <f t="shared" si="0"/>
        <v>4</v>
      </c>
      <c r="N11" s="20">
        <f t="shared" si="0"/>
        <v>5</v>
      </c>
    </row>
    <row r="12" spans="1:14">
      <c r="A12" s="20" t="s">
        <v>158</v>
      </c>
      <c r="B12" s="28" t="s">
        <v>159</v>
      </c>
      <c r="C12" s="29">
        <v>0.9</v>
      </c>
      <c r="D12" s="29">
        <v>0.6</v>
      </c>
      <c r="I12" s="31">
        <v>8.1000000000000003E-2</v>
      </c>
      <c r="J12" s="20">
        <v>2</v>
      </c>
      <c r="K12" s="20">
        <f t="shared" si="1"/>
        <v>4</v>
      </c>
      <c r="L12" s="20">
        <v>3</v>
      </c>
      <c r="M12" s="20">
        <f t="shared" si="0"/>
        <v>4</v>
      </c>
      <c r="N12" s="20">
        <f t="shared" si="0"/>
        <v>5</v>
      </c>
    </row>
    <row r="13" spans="1:14">
      <c r="A13" s="20" t="s">
        <v>160</v>
      </c>
      <c r="B13" s="28" t="s">
        <v>161</v>
      </c>
      <c r="C13" s="29">
        <v>0.92</v>
      </c>
      <c r="D13" s="29">
        <v>0.43</v>
      </c>
      <c r="I13" s="31">
        <v>0.108</v>
      </c>
      <c r="J13" s="20">
        <v>3</v>
      </c>
      <c r="K13" s="20">
        <f t="shared" si="1"/>
        <v>5</v>
      </c>
      <c r="L13" s="20">
        <v>4</v>
      </c>
      <c r="M13" s="20">
        <f t="shared" si="0"/>
        <v>5</v>
      </c>
      <c r="N13" s="20">
        <f t="shared" si="0"/>
        <v>6</v>
      </c>
    </row>
    <row r="14" spans="1:14">
      <c r="A14" s="28" t="s">
        <v>162</v>
      </c>
      <c r="B14" s="28" t="s">
        <v>163</v>
      </c>
      <c r="C14" s="29">
        <v>0.97</v>
      </c>
      <c r="D14" s="29">
        <v>0.74</v>
      </c>
      <c r="I14" s="31">
        <v>0.13500000000000001</v>
      </c>
      <c r="J14" s="20">
        <v>3</v>
      </c>
      <c r="K14" s="20">
        <f t="shared" si="1"/>
        <v>5</v>
      </c>
      <c r="L14" s="20">
        <v>4</v>
      </c>
      <c r="M14" s="20">
        <f t="shared" si="0"/>
        <v>5</v>
      </c>
      <c r="N14" s="20">
        <f t="shared" si="0"/>
        <v>6</v>
      </c>
    </row>
    <row r="15" spans="1:14">
      <c r="I15" s="31">
        <v>0.16200000000000001</v>
      </c>
      <c r="J15" s="20">
        <v>4</v>
      </c>
      <c r="K15" s="20">
        <f t="shared" si="1"/>
        <v>6</v>
      </c>
      <c r="L15" s="20">
        <v>5</v>
      </c>
      <c r="M15" s="20">
        <f t="shared" si="0"/>
        <v>6</v>
      </c>
      <c r="N15" s="20">
        <f t="shared" si="0"/>
        <v>7</v>
      </c>
    </row>
    <row r="16" spans="1:14">
      <c r="I16" s="31">
        <v>0.189</v>
      </c>
      <c r="J16" s="20">
        <v>4</v>
      </c>
      <c r="K16" s="20">
        <f t="shared" si="1"/>
        <v>6</v>
      </c>
      <c r="L16" s="20">
        <v>5</v>
      </c>
      <c r="M16" s="20">
        <f t="shared" si="0"/>
        <v>6</v>
      </c>
      <c r="N16" s="20">
        <f t="shared" si="0"/>
        <v>7</v>
      </c>
    </row>
    <row r="17" spans="6:14">
      <c r="I17" s="31">
        <v>0.216</v>
      </c>
      <c r="J17" s="20">
        <v>5</v>
      </c>
      <c r="K17" s="20">
        <f t="shared" si="1"/>
        <v>7</v>
      </c>
      <c r="L17" s="20">
        <v>6</v>
      </c>
      <c r="M17" s="20">
        <f t="shared" si="0"/>
        <v>7</v>
      </c>
      <c r="N17" s="20">
        <f t="shared" si="0"/>
        <v>8</v>
      </c>
    </row>
    <row r="18" spans="6:14">
      <c r="I18" s="31">
        <v>0.24299999999999999</v>
      </c>
      <c r="J18" s="20">
        <v>5</v>
      </c>
      <c r="K18" s="20">
        <f t="shared" si="1"/>
        <v>7</v>
      </c>
      <c r="L18" s="20">
        <v>6</v>
      </c>
      <c r="M18" s="20">
        <f t="shared" si="0"/>
        <v>7</v>
      </c>
      <c r="N18" s="20">
        <f t="shared" si="0"/>
        <v>8</v>
      </c>
    </row>
    <row r="19" spans="6:14">
      <c r="I19" s="31">
        <v>0.27</v>
      </c>
      <c r="J19" s="20">
        <v>6</v>
      </c>
      <c r="K19" s="20">
        <f t="shared" si="1"/>
        <v>8</v>
      </c>
      <c r="L19" s="20">
        <v>7</v>
      </c>
      <c r="M19" s="20">
        <f t="shared" si="0"/>
        <v>8</v>
      </c>
      <c r="N19" s="20">
        <f t="shared" si="0"/>
        <v>9</v>
      </c>
    </row>
    <row r="20" spans="6:14">
      <c r="F20" s="20" t="str">
        <f>Demand!B2</f>
        <v>District 1</v>
      </c>
    </row>
    <row r="21" spans="6:14">
      <c r="F21" s="20" t="str">
        <f>Demand!F2</f>
        <v>District 2</v>
      </c>
    </row>
    <row r="22" spans="6:14">
      <c r="F22" s="20" t="str">
        <f>Demand!J2</f>
        <v>District 3</v>
      </c>
    </row>
    <row r="24" spans="6:14">
      <c r="I24" s="21" t="s">
        <v>164</v>
      </c>
      <c r="J24" s="21" t="s">
        <v>150</v>
      </c>
      <c r="K24" s="21" t="s">
        <v>151</v>
      </c>
      <c r="L24" s="30" t="s">
        <v>152</v>
      </c>
      <c r="M24" s="21" t="s">
        <v>153</v>
      </c>
      <c r="N24" s="21" t="s">
        <v>154</v>
      </c>
    </row>
    <row r="25" spans="6:14">
      <c r="I25" s="29">
        <v>0.25</v>
      </c>
      <c r="J25" s="20">
        <v>1</v>
      </c>
      <c r="K25" s="20">
        <v>3</v>
      </c>
      <c r="L25" s="20">
        <v>2</v>
      </c>
      <c r="M25" s="20">
        <v>3</v>
      </c>
      <c r="N25" s="20">
        <v>5</v>
      </c>
    </row>
    <row r="26" spans="6:14">
      <c r="I26" s="29">
        <v>0.3</v>
      </c>
      <c r="J26" s="20">
        <v>2</v>
      </c>
      <c r="K26" s="20">
        <v>4</v>
      </c>
      <c r="L26" s="20">
        <v>3</v>
      </c>
      <c r="M26" s="20">
        <v>4</v>
      </c>
      <c r="N26" s="20">
        <v>6</v>
      </c>
    </row>
    <row r="27" spans="6:14">
      <c r="I27" s="29">
        <v>0.35</v>
      </c>
      <c r="J27" s="20">
        <v>3</v>
      </c>
      <c r="K27" s="20">
        <v>5</v>
      </c>
      <c r="L27" s="20">
        <v>4</v>
      </c>
      <c r="M27" s="20">
        <v>5</v>
      </c>
      <c r="N27" s="20">
        <v>7</v>
      </c>
    </row>
    <row r="28" spans="6:14">
      <c r="I28" s="29">
        <v>0.4</v>
      </c>
      <c r="J28" s="20">
        <v>4</v>
      </c>
      <c r="K28" s="20">
        <v>6</v>
      </c>
      <c r="L28" s="20">
        <v>5</v>
      </c>
      <c r="M28" s="20">
        <v>6</v>
      </c>
      <c r="N28" s="20">
        <v>8</v>
      </c>
    </row>
    <row r="29" spans="6:14">
      <c r="I29" s="29">
        <v>0.6</v>
      </c>
      <c r="J29" s="20">
        <v>6</v>
      </c>
      <c r="K29" s="20">
        <v>7</v>
      </c>
      <c r="L29" s="20">
        <v>6</v>
      </c>
      <c r="M29" s="20">
        <v>7</v>
      </c>
      <c r="N29" s="20">
        <v>9</v>
      </c>
    </row>
    <row r="30" spans="6:14">
      <c r="I30" s="29">
        <v>0.7</v>
      </c>
      <c r="J30" s="20">
        <v>7</v>
      </c>
      <c r="K30" s="20">
        <v>8</v>
      </c>
      <c r="L30" s="20">
        <v>7</v>
      </c>
      <c r="M30" s="20">
        <v>8</v>
      </c>
      <c r="N30" s="20">
        <v>9</v>
      </c>
    </row>
    <row r="31" spans="6:14">
      <c r="I31" s="29">
        <v>0.9</v>
      </c>
      <c r="J31" s="20">
        <v>8</v>
      </c>
      <c r="K31" s="20">
        <v>9</v>
      </c>
      <c r="L31" s="20">
        <v>8</v>
      </c>
      <c r="M31" s="20">
        <v>9</v>
      </c>
      <c r="N31" s="20">
        <v>10</v>
      </c>
    </row>
    <row r="32" spans="6:14">
      <c r="I32" s="29">
        <v>1</v>
      </c>
      <c r="J32" s="248">
        <v>8</v>
      </c>
      <c r="K32" s="248">
        <v>10</v>
      </c>
      <c r="L32" s="248">
        <v>9</v>
      </c>
      <c r="M32" s="248">
        <v>10</v>
      </c>
      <c r="N32" s="248">
        <v>10</v>
      </c>
    </row>
    <row r="34" spans="9:10">
      <c r="I34" s="246" t="s">
        <v>145</v>
      </c>
      <c r="J34" s="27">
        <f>Efficiencies!I17</f>
        <v>1.24542</v>
      </c>
    </row>
    <row r="35" spans="9:10">
      <c r="I35" s="246" t="s">
        <v>165</v>
      </c>
      <c r="J35" s="20">
        <f>IF(I8="Current (~fossil fuel)",VLOOKUP(H7,energyindex,2,TRUE),IF(I8="Fossil Fuels",VLOOKUP(H7,energyindex,2,TRUE),IF(I8="Biofuel",VLOOKUP(H7,energyindex,3,TRUE),IF(I8="50:50 mix",VLOOKUP(H7,energyindex,4,TRUE),IF(I8="No Fossil, Combustion Based",VLOOKUP(H7,energyindex,5,TRUE),IF(I8="Non-Thermal Renewables",VLOOKUP(H7,energyindex,6,TRUE),""))))))</f>
        <v>10</v>
      </c>
    </row>
  </sheetData>
  <sheetProtection algorithmName="SHA-512" hashValue="5BZ8CCfGbWFg1z8yh/jq0CAVbgjJFQZRhv8smgVcU11x3LB9GYLIEz1fVRZvyb0FoJO91EPjetOJr8zEfMw04g==" saltValue="GY/1GAGanFkZ08Xz88KtUg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I21"/>
  <sheetViews>
    <sheetView workbookViewId="0">
      <selection activeCell="G23" sqref="G23"/>
    </sheetView>
  </sheetViews>
  <sheetFormatPr defaultRowHeight="15"/>
  <cols>
    <col min="1" max="1" width="14.140625" customWidth="1"/>
    <col min="2" max="2" width="14.5703125" customWidth="1"/>
    <col min="3" max="3" width="12" customWidth="1"/>
    <col min="7" max="7" width="12.7109375" customWidth="1"/>
    <col min="8" max="8" width="10.7109375" customWidth="1"/>
    <col min="9" max="9" width="12.28515625" customWidth="1"/>
  </cols>
  <sheetData>
    <row r="1" spans="1:9">
      <c r="A1" s="44" t="s">
        <v>41</v>
      </c>
      <c r="B1" s="44" t="s">
        <v>166</v>
      </c>
      <c r="C1" s="44" t="s">
        <v>167</v>
      </c>
      <c r="D1" s="44"/>
      <c r="E1" s="44"/>
      <c r="F1" s="44"/>
      <c r="G1" s="44" t="s">
        <v>168</v>
      </c>
      <c r="H1" s="44" t="s">
        <v>166</v>
      </c>
      <c r="I1" s="44" t="s">
        <v>167</v>
      </c>
    </row>
    <row r="2" spans="1:9">
      <c r="A2" s="41" t="s">
        <v>169</v>
      </c>
      <c r="B2" s="41">
        <v>0</v>
      </c>
      <c r="C2" s="41">
        <v>10.44</v>
      </c>
      <c r="D2" s="41"/>
      <c r="E2" s="41"/>
      <c r="F2" s="41"/>
      <c r="G2" s="41" t="s">
        <v>169</v>
      </c>
      <c r="H2" s="41">
        <v>0</v>
      </c>
      <c r="I2" s="41">
        <v>3.07</v>
      </c>
    </row>
    <row r="3" spans="1:9">
      <c r="A3" s="41" t="s">
        <v>170</v>
      </c>
      <c r="B3" s="41">
        <v>20000</v>
      </c>
      <c r="C3" s="41">
        <v>8.7799999999999994</v>
      </c>
      <c r="D3" s="41"/>
      <c r="E3" s="41"/>
      <c r="F3" s="41"/>
      <c r="G3" s="41" t="s">
        <v>170</v>
      </c>
      <c r="H3" s="41">
        <v>278000</v>
      </c>
      <c r="I3" s="41">
        <v>2.42</v>
      </c>
    </row>
    <row r="4" spans="1:9">
      <c r="A4" s="41" t="s">
        <v>171</v>
      </c>
      <c r="B4" s="41">
        <v>500000</v>
      </c>
      <c r="C4" s="41">
        <v>7.81</v>
      </c>
      <c r="D4" s="41"/>
      <c r="E4" s="41"/>
      <c r="F4" s="41"/>
      <c r="G4" s="41" t="s">
        <v>172</v>
      </c>
      <c r="H4" s="41">
        <v>2778000</v>
      </c>
      <c r="I4" s="41">
        <v>2.13</v>
      </c>
    </row>
    <row r="5" spans="1:9">
      <c r="A5" s="41" t="s">
        <v>172</v>
      </c>
      <c r="B5" s="41">
        <v>2000000</v>
      </c>
      <c r="C5" s="41">
        <v>7.05</v>
      </c>
      <c r="D5" s="41"/>
      <c r="E5" s="41"/>
      <c r="F5" s="41"/>
      <c r="G5" s="41" t="s">
        <v>173</v>
      </c>
      <c r="H5" s="41">
        <v>27778000</v>
      </c>
      <c r="I5" s="41">
        <v>1.92</v>
      </c>
    </row>
    <row r="6" spans="1:9">
      <c r="A6" s="41" t="s">
        <v>173</v>
      </c>
      <c r="B6" s="41">
        <v>20000000</v>
      </c>
      <c r="C6" s="41">
        <v>6.83</v>
      </c>
      <c r="D6" s="41"/>
      <c r="E6" s="41"/>
      <c r="F6" s="41"/>
      <c r="G6" s="41" t="s">
        <v>174</v>
      </c>
      <c r="H6" s="41">
        <v>277778000</v>
      </c>
      <c r="I6" s="41">
        <v>1.7</v>
      </c>
    </row>
    <row r="7" spans="1:9">
      <c r="A7" s="41" t="s">
        <v>174</v>
      </c>
      <c r="B7" s="41">
        <v>70000000</v>
      </c>
      <c r="C7" s="41">
        <v>6.58</v>
      </c>
      <c r="D7" s="41"/>
      <c r="E7" s="41"/>
      <c r="F7" s="41"/>
      <c r="G7" s="41"/>
      <c r="H7" s="41"/>
      <c r="I7" s="41"/>
    </row>
    <row r="8" spans="1:9">
      <c r="A8" s="41" t="s">
        <v>175</v>
      </c>
      <c r="B8" s="41">
        <v>150000000</v>
      </c>
      <c r="C8" s="41">
        <v>7.18</v>
      </c>
      <c r="D8" s="41"/>
      <c r="E8" s="41"/>
      <c r="F8" s="41"/>
      <c r="G8" s="41"/>
      <c r="H8" s="41"/>
      <c r="I8" s="41"/>
    </row>
    <row r="14" spans="1:9" ht="35.25" customHeight="1">
      <c r="A14" s="43" t="s">
        <v>39</v>
      </c>
      <c r="B14" s="44" t="s">
        <v>176</v>
      </c>
      <c r="C14" s="43"/>
      <c r="D14" s="41"/>
      <c r="E14" s="41"/>
      <c r="F14" s="41"/>
      <c r="G14" s="41"/>
      <c r="H14" s="41"/>
      <c r="I14" s="41"/>
    </row>
    <row r="15" spans="1:9">
      <c r="A15" s="41" t="s">
        <v>63</v>
      </c>
      <c r="B15" s="41">
        <v>3</v>
      </c>
      <c r="C15" s="41"/>
      <c r="D15" s="41"/>
      <c r="E15" s="41"/>
      <c r="F15" s="41"/>
      <c r="G15" s="41"/>
      <c r="H15" s="41"/>
      <c r="I15" s="41"/>
    </row>
    <row r="16" spans="1:9">
      <c r="A16" s="41" t="s">
        <v>177</v>
      </c>
      <c r="B16" s="41">
        <v>15</v>
      </c>
      <c r="C16" s="41"/>
      <c r="D16" s="41"/>
      <c r="E16" s="41"/>
      <c r="F16" s="41"/>
      <c r="G16" s="41"/>
      <c r="H16" s="41"/>
      <c r="I16" s="41"/>
    </row>
    <row r="19" spans="1:6" ht="45">
      <c r="A19" s="42" t="s">
        <v>40</v>
      </c>
      <c r="B19" s="42" t="s">
        <v>178</v>
      </c>
      <c r="C19" s="42" t="s">
        <v>179</v>
      </c>
      <c r="D19" s="42" t="s">
        <v>180</v>
      </c>
      <c r="E19" s="42" t="s">
        <v>181</v>
      </c>
      <c r="F19" s="46"/>
    </row>
    <row r="20" spans="1:6">
      <c r="A20" s="41" t="s">
        <v>170</v>
      </c>
      <c r="B20" s="41">
        <v>500</v>
      </c>
      <c r="C20" s="41">
        <v>80</v>
      </c>
      <c r="D20" s="41">
        <v>2500</v>
      </c>
      <c r="E20" s="41">
        <v>16</v>
      </c>
      <c r="F20" s="45"/>
    </row>
    <row r="21" spans="1:6">
      <c r="A21" s="41" t="s">
        <v>173</v>
      </c>
      <c r="B21" s="41">
        <v>2000</v>
      </c>
      <c r="C21" s="41">
        <v>48</v>
      </c>
      <c r="D21" s="41">
        <v>10000</v>
      </c>
      <c r="E21" s="41">
        <v>9.6</v>
      </c>
      <c r="F21" s="45"/>
    </row>
  </sheetData>
  <sheetProtection password="DC2F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V57"/>
  <sheetViews>
    <sheetView topLeftCell="I1" workbookViewId="0">
      <selection activeCell="O23" sqref="O23"/>
    </sheetView>
  </sheetViews>
  <sheetFormatPr defaultRowHeight="15"/>
  <cols>
    <col min="2" max="2" width="24.7109375" bestFit="1" customWidth="1"/>
    <col min="3" max="3" width="34.85546875" customWidth="1"/>
    <col min="4" max="4" width="11" style="59" customWidth="1"/>
    <col min="5" max="5" width="7.5703125" bestFit="1" customWidth="1"/>
    <col min="6" max="6" width="7.5703125" style="59" customWidth="1"/>
    <col min="7" max="7" width="15.42578125" bestFit="1" customWidth="1"/>
    <col min="8" max="8" width="15.42578125" style="59" customWidth="1"/>
    <col min="9" max="9" width="10.140625" bestFit="1" customWidth="1"/>
    <col min="11" max="11" width="14" customWidth="1"/>
    <col min="13" max="13" width="10.5703125" bestFit="1" customWidth="1"/>
    <col min="14" max="14" width="6.5703125" bestFit="1" customWidth="1"/>
    <col min="15" max="15" width="9.28515625" customWidth="1"/>
    <col min="16" max="16" width="12.42578125" customWidth="1"/>
    <col min="22" max="22" width="14.140625" style="54" customWidth="1"/>
  </cols>
  <sheetData>
    <row r="1" spans="2:22" ht="15.75" thickBot="1">
      <c r="B1" s="299" t="s">
        <v>182</v>
      </c>
      <c r="C1" s="300"/>
      <c r="D1" s="300"/>
      <c r="E1" s="300"/>
      <c r="F1" s="300"/>
      <c r="G1" s="300"/>
      <c r="H1" s="300"/>
      <c r="I1" s="301"/>
      <c r="J1" s="59"/>
      <c r="K1" s="54" t="s">
        <v>183</v>
      </c>
      <c r="L1" s="59"/>
      <c r="M1" s="299" t="s">
        <v>182</v>
      </c>
      <c r="N1" s="300"/>
      <c r="O1" s="300"/>
      <c r="P1" s="300"/>
      <c r="Q1" s="300"/>
      <c r="R1" s="300"/>
      <c r="S1" s="300"/>
      <c r="T1" s="301"/>
      <c r="U1" s="59"/>
      <c r="V1" s="54" t="s">
        <v>184</v>
      </c>
    </row>
    <row r="2" spans="2:22" ht="15.75" thickBot="1">
      <c r="B2" s="67" t="s">
        <v>185</v>
      </c>
      <c r="C2" s="250" t="s">
        <v>8</v>
      </c>
      <c r="D2" s="250"/>
      <c r="E2" s="250" t="s">
        <v>9</v>
      </c>
      <c r="F2" s="250"/>
      <c r="G2" s="250" t="s">
        <v>10</v>
      </c>
      <c r="H2" s="250"/>
      <c r="I2" s="251" t="s">
        <v>11</v>
      </c>
      <c r="J2" s="59"/>
      <c r="K2" s="54"/>
      <c r="L2" s="59"/>
      <c r="M2" s="67" t="s">
        <v>185</v>
      </c>
      <c r="N2" s="250" t="s">
        <v>8</v>
      </c>
      <c r="O2" s="250"/>
      <c r="P2" s="250" t="s">
        <v>9</v>
      </c>
      <c r="Q2" s="250"/>
      <c r="R2" s="250" t="s">
        <v>10</v>
      </c>
      <c r="S2" s="250"/>
      <c r="T2" s="251" t="s">
        <v>11</v>
      </c>
      <c r="U2" s="59"/>
    </row>
    <row r="3" spans="2:22">
      <c r="B3" s="71" t="s">
        <v>12</v>
      </c>
      <c r="C3" s="63">
        <v>10581</v>
      </c>
      <c r="D3" s="63">
        <f>Demand!B5</f>
        <v>0</v>
      </c>
      <c r="E3" s="63">
        <v>16042</v>
      </c>
      <c r="F3" s="63">
        <f>Demand!C5</f>
        <v>0</v>
      </c>
      <c r="G3" s="63">
        <v>20476</v>
      </c>
      <c r="H3" s="63">
        <f>Demand!D5</f>
        <v>0</v>
      </c>
      <c r="I3" s="64">
        <v>30714</v>
      </c>
      <c r="J3" s="57">
        <f>Demand!E5</f>
        <v>0</v>
      </c>
      <c r="K3" s="54">
        <f>(C3*D3)+(E3*F3)+(G3*H3)+(I3*J3)</f>
        <v>0</v>
      </c>
      <c r="L3" s="59"/>
      <c r="M3" s="71" t="s">
        <v>12</v>
      </c>
      <c r="N3" s="63">
        <v>10581</v>
      </c>
      <c r="O3" s="63">
        <f>Demand!F5</f>
        <v>0</v>
      </c>
      <c r="P3" s="63">
        <v>16042</v>
      </c>
      <c r="Q3" s="63">
        <f>Demand!G5</f>
        <v>0</v>
      </c>
      <c r="R3" s="63">
        <v>20476</v>
      </c>
      <c r="S3" s="63">
        <f>Demand!H5</f>
        <v>0</v>
      </c>
      <c r="T3" s="64">
        <v>30714</v>
      </c>
      <c r="U3" s="57">
        <f>Demand!I5</f>
        <v>0</v>
      </c>
      <c r="V3" s="54">
        <f>(N3*O3)+(P3*Q3)+(R3*S3)+(T3*U3)</f>
        <v>0</v>
      </c>
    </row>
    <row r="4" spans="2:22">
      <c r="B4" s="72" t="s">
        <v>13</v>
      </c>
      <c r="C4" s="63">
        <v>9755</v>
      </c>
      <c r="D4" s="63">
        <f>Demand!B6</f>
        <v>0</v>
      </c>
      <c r="E4" s="63">
        <v>14640</v>
      </c>
      <c r="F4" s="63">
        <f>Demand!C6</f>
        <v>0</v>
      </c>
      <c r="G4" s="63">
        <v>18652</v>
      </c>
      <c r="H4" s="63">
        <f>Demand!D6</f>
        <v>0</v>
      </c>
      <c r="I4" s="64">
        <v>27977</v>
      </c>
      <c r="J4" s="57">
        <f>Demand!E6</f>
        <v>0</v>
      </c>
      <c r="K4" s="54">
        <f t="shared" ref="K4:K9" si="0">(C4*D4)+(E4*F4)+(G4*H4)+(I4*J4)</f>
        <v>0</v>
      </c>
      <c r="L4" s="59"/>
      <c r="M4" s="72" t="s">
        <v>13</v>
      </c>
      <c r="N4" s="63">
        <v>9755</v>
      </c>
      <c r="O4" s="63">
        <f>Demand!F6</f>
        <v>0</v>
      </c>
      <c r="P4" s="63">
        <v>14640</v>
      </c>
      <c r="Q4" s="63">
        <f>Demand!G6</f>
        <v>0</v>
      </c>
      <c r="R4" s="63">
        <v>18652</v>
      </c>
      <c r="S4" s="63">
        <f>Demand!H6</f>
        <v>0</v>
      </c>
      <c r="T4" s="64">
        <v>27977</v>
      </c>
      <c r="U4" s="57">
        <f>Demand!I6</f>
        <v>0</v>
      </c>
      <c r="V4" s="54">
        <f t="shared" ref="V4:V10" si="1">(N4*O4)+(P4*Q4)+(R4*S4)+(T4*U4)</f>
        <v>0</v>
      </c>
    </row>
    <row r="5" spans="2:22">
      <c r="B5" s="72" t="s">
        <v>14</v>
      </c>
      <c r="C5" s="63">
        <v>8994</v>
      </c>
      <c r="D5" s="63">
        <f>Demand!B7</f>
        <v>0</v>
      </c>
      <c r="E5" s="63">
        <v>13182</v>
      </c>
      <c r="F5" s="63">
        <f>Demand!C7</f>
        <v>0</v>
      </c>
      <c r="G5" s="63">
        <v>16688</v>
      </c>
      <c r="H5" s="63">
        <f>Demand!D7</f>
        <v>0</v>
      </c>
      <c r="I5" s="64">
        <v>25033</v>
      </c>
      <c r="J5" s="57">
        <f>Demand!E7</f>
        <v>0</v>
      </c>
      <c r="K5" s="54">
        <f t="shared" si="0"/>
        <v>0</v>
      </c>
      <c r="L5" s="59"/>
      <c r="M5" s="72" t="s">
        <v>14</v>
      </c>
      <c r="N5" s="63">
        <v>8994</v>
      </c>
      <c r="O5" s="63">
        <f>Demand!F7</f>
        <v>0</v>
      </c>
      <c r="P5" s="63">
        <v>13182</v>
      </c>
      <c r="Q5" s="63">
        <f>Demand!G7</f>
        <v>0</v>
      </c>
      <c r="R5" s="63">
        <v>16688</v>
      </c>
      <c r="S5" s="63">
        <f>Demand!H7</f>
        <v>0</v>
      </c>
      <c r="T5" s="64">
        <v>25033</v>
      </c>
      <c r="U5" s="57">
        <f>Demand!I7</f>
        <v>0</v>
      </c>
      <c r="V5" s="54">
        <f t="shared" si="1"/>
        <v>0</v>
      </c>
    </row>
    <row r="6" spans="2:22">
      <c r="B6" s="72" t="s">
        <v>15</v>
      </c>
      <c r="C6" s="63">
        <v>8653</v>
      </c>
      <c r="D6" s="63">
        <f>Demand!B8</f>
        <v>0</v>
      </c>
      <c r="E6" s="63">
        <v>12710</v>
      </c>
      <c r="F6" s="63">
        <f>Demand!C8</f>
        <v>0</v>
      </c>
      <c r="G6" s="63">
        <v>16065</v>
      </c>
      <c r="H6" s="63">
        <f>Demand!D8</f>
        <v>0</v>
      </c>
      <c r="I6" s="64">
        <v>24098</v>
      </c>
      <c r="J6" s="57">
        <f>Demand!E8</f>
        <v>0</v>
      </c>
      <c r="K6" s="54">
        <f t="shared" si="0"/>
        <v>0</v>
      </c>
      <c r="L6" s="59"/>
      <c r="M6" s="72" t="s">
        <v>15</v>
      </c>
      <c r="N6" s="63">
        <v>8653</v>
      </c>
      <c r="O6" s="63">
        <f>Demand!F8</f>
        <v>0</v>
      </c>
      <c r="P6" s="63">
        <v>12710</v>
      </c>
      <c r="Q6" s="63">
        <f>Demand!G8</f>
        <v>0</v>
      </c>
      <c r="R6" s="63">
        <v>16065</v>
      </c>
      <c r="S6" s="63">
        <f>Demand!H8</f>
        <v>0</v>
      </c>
      <c r="T6" s="64">
        <v>24098</v>
      </c>
      <c r="U6" s="57">
        <f>Demand!I8</f>
        <v>0</v>
      </c>
      <c r="V6" s="54">
        <f t="shared" si="1"/>
        <v>0</v>
      </c>
    </row>
    <row r="7" spans="2:22">
      <c r="B7" s="72" t="s">
        <v>16</v>
      </c>
      <c r="C7" s="63">
        <v>8101</v>
      </c>
      <c r="D7" s="63">
        <f>Demand!B9</f>
        <v>0</v>
      </c>
      <c r="E7" s="63">
        <v>11740</v>
      </c>
      <c r="F7" s="63">
        <f>Demand!C9</f>
        <v>0</v>
      </c>
      <c r="G7" s="63">
        <v>14749</v>
      </c>
      <c r="H7" s="63">
        <f>Demand!D9</f>
        <v>0</v>
      </c>
      <c r="I7" s="64">
        <v>22123</v>
      </c>
      <c r="J7" s="57">
        <f>Demand!E9</f>
        <v>0</v>
      </c>
      <c r="K7" s="54">
        <f t="shared" si="0"/>
        <v>0</v>
      </c>
      <c r="L7" s="59"/>
      <c r="M7" s="72" t="s">
        <v>16</v>
      </c>
      <c r="N7" s="63">
        <v>8101</v>
      </c>
      <c r="O7" s="63">
        <f>Demand!F9</f>
        <v>0</v>
      </c>
      <c r="P7" s="63">
        <v>11740</v>
      </c>
      <c r="Q7" s="63">
        <f>Demand!G9</f>
        <v>0</v>
      </c>
      <c r="R7" s="63">
        <v>14749</v>
      </c>
      <c r="S7" s="63">
        <f>Demand!H9</f>
        <v>0</v>
      </c>
      <c r="T7" s="64">
        <v>22123</v>
      </c>
      <c r="U7" s="57">
        <f>Demand!I9</f>
        <v>0</v>
      </c>
      <c r="V7" s="54">
        <f t="shared" si="1"/>
        <v>0</v>
      </c>
    </row>
    <row r="8" spans="2:22">
      <c r="B8" s="72" t="s">
        <v>17</v>
      </c>
      <c r="C8" s="63">
        <v>8331</v>
      </c>
      <c r="D8" s="63">
        <f>Demand!B10</f>
        <v>0</v>
      </c>
      <c r="E8" s="63">
        <v>11989</v>
      </c>
      <c r="F8" s="63">
        <f>Demand!C10</f>
        <v>0</v>
      </c>
      <c r="G8" s="63">
        <v>15072</v>
      </c>
      <c r="H8" s="63">
        <f>Demand!D10</f>
        <v>0</v>
      </c>
      <c r="I8" s="64">
        <v>22608</v>
      </c>
      <c r="J8" s="57">
        <f>Demand!E10</f>
        <v>0</v>
      </c>
      <c r="K8" s="54">
        <f t="shared" si="0"/>
        <v>0</v>
      </c>
      <c r="L8" s="59"/>
      <c r="M8" s="72" t="s">
        <v>17</v>
      </c>
      <c r="N8" s="63">
        <v>8331</v>
      </c>
      <c r="O8" s="63">
        <f>Demand!F10</f>
        <v>0</v>
      </c>
      <c r="P8" s="63">
        <v>11989</v>
      </c>
      <c r="Q8" s="63">
        <f>Demand!G10</f>
        <v>0</v>
      </c>
      <c r="R8" s="63">
        <v>15072</v>
      </c>
      <c r="S8" s="63">
        <f>Demand!H10</f>
        <v>0</v>
      </c>
      <c r="T8" s="64">
        <v>22608</v>
      </c>
      <c r="U8" s="57">
        <f>Demand!I10</f>
        <v>0</v>
      </c>
      <c r="V8" s="54">
        <f t="shared" si="1"/>
        <v>0</v>
      </c>
    </row>
    <row r="9" spans="2:22">
      <c r="B9" s="72" t="s">
        <v>18</v>
      </c>
      <c r="C9" s="63">
        <v>6828</v>
      </c>
      <c r="D9" s="63">
        <f>Demand!B11</f>
        <v>0</v>
      </c>
      <c r="E9" s="63">
        <v>9479</v>
      </c>
      <c r="F9" s="63">
        <f>Demand!C11</f>
        <v>0</v>
      </c>
      <c r="G9" s="63">
        <v>11728</v>
      </c>
      <c r="H9" s="63">
        <f>Demand!D11</f>
        <v>0</v>
      </c>
      <c r="I9" s="64">
        <v>17592</v>
      </c>
      <c r="J9" s="57">
        <f>Demand!E11</f>
        <v>0</v>
      </c>
      <c r="K9" s="54">
        <f t="shared" si="0"/>
        <v>0</v>
      </c>
      <c r="L9" s="59"/>
      <c r="M9" s="72" t="s">
        <v>18</v>
      </c>
      <c r="N9" s="63">
        <v>6828</v>
      </c>
      <c r="O9" s="63">
        <f>Demand!F11</f>
        <v>0</v>
      </c>
      <c r="P9" s="63">
        <v>9479</v>
      </c>
      <c r="Q9" s="63">
        <f>Demand!G11</f>
        <v>0</v>
      </c>
      <c r="R9" s="63">
        <v>11728</v>
      </c>
      <c r="S9" s="63">
        <f>Demand!H11</f>
        <v>0</v>
      </c>
      <c r="T9" s="64">
        <v>17592</v>
      </c>
      <c r="U9" s="57">
        <f>Demand!I11</f>
        <v>0</v>
      </c>
      <c r="V9" s="54">
        <f t="shared" si="1"/>
        <v>0</v>
      </c>
    </row>
    <row r="10" spans="2:22" ht="15.75" thickBot="1">
      <c r="B10" s="68" t="s">
        <v>19</v>
      </c>
      <c r="C10" s="65">
        <v>6218</v>
      </c>
      <c r="D10" s="63">
        <f>Demand!B12</f>
        <v>0</v>
      </c>
      <c r="E10" s="65">
        <v>8371</v>
      </c>
      <c r="F10" s="63">
        <f>Demand!C12</f>
        <v>0</v>
      </c>
      <c r="G10" s="65">
        <v>10306</v>
      </c>
      <c r="H10" s="63">
        <f>Demand!D12</f>
        <v>0</v>
      </c>
      <c r="I10" s="66">
        <v>15459</v>
      </c>
      <c r="J10" s="57">
        <f>Demand!E12</f>
        <v>0</v>
      </c>
      <c r="K10" s="54">
        <f>(C10*D10)+(E10*F10)+(G10*H10)+(I10*J10)</f>
        <v>0</v>
      </c>
      <c r="L10" s="59"/>
      <c r="M10" s="68" t="s">
        <v>19</v>
      </c>
      <c r="N10" s="65">
        <v>6218</v>
      </c>
      <c r="O10" s="63">
        <f>Demand!F12</f>
        <v>0</v>
      </c>
      <c r="P10" s="65">
        <v>8371</v>
      </c>
      <c r="Q10" s="63">
        <f>Demand!G12</f>
        <v>0</v>
      </c>
      <c r="R10" s="65">
        <v>10306</v>
      </c>
      <c r="S10" s="63">
        <f>Demand!H12</f>
        <v>0</v>
      </c>
      <c r="T10" s="66">
        <v>15459</v>
      </c>
      <c r="U10" s="57">
        <f>Demand!I12</f>
        <v>0</v>
      </c>
      <c r="V10" s="54">
        <f t="shared" si="1"/>
        <v>0</v>
      </c>
    </row>
    <row r="11" spans="2:22" ht="15.75" thickBot="1">
      <c r="B11" s="59"/>
      <c r="C11" s="59"/>
      <c r="E11" s="59"/>
      <c r="G11" s="59"/>
      <c r="I11" s="59"/>
      <c r="J11" s="59"/>
      <c r="K11" s="55">
        <f>SUM(K3:K10)</f>
        <v>0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5">
        <f>SUM(V3:V10)</f>
        <v>0</v>
      </c>
    </row>
    <row r="12" spans="2:22" ht="15.75" thickBot="1">
      <c r="B12" s="292" t="s">
        <v>186</v>
      </c>
      <c r="C12" s="294"/>
      <c r="D12" s="249"/>
      <c r="E12" s="59"/>
      <c r="G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pans="2:22" ht="15.75" thickBot="1">
      <c r="B13" s="15" t="s">
        <v>34</v>
      </c>
      <c r="C13" s="14" t="s">
        <v>187</v>
      </c>
      <c r="D13" s="62"/>
      <c r="E13" s="59"/>
      <c r="G13" s="59"/>
      <c r="I13" s="59"/>
      <c r="J13" s="59"/>
      <c r="K13" s="59"/>
      <c r="L13" s="59"/>
      <c r="M13" s="299" t="s">
        <v>182</v>
      </c>
      <c r="N13" s="300"/>
      <c r="O13" s="300"/>
      <c r="P13" s="300"/>
      <c r="Q13" s="300"/>
      <c r="R13" s="300"/>
      <c r="S13" s="300"/>
      <c r="T13" s="301"/>
      <c r="U13" s="59"/>
      <c r="V13" s="54" t="s">
        <v>188</v>
      </c>
    </row>
    <row r="14" spans="2:22" ht="15.75" thickBot="1">
      <c r="B14" s="1" t="s">
        <v>189</v>
      </c>
      <c r="C14" s="6">
        <v>0.85</v>
      </c>
      <c r="D14" s="77"/>
      <c r="E14" s="59"/>
      <c r="G14" s="59"/>
      <c r="I14" s="59"/>
      <c r="J14" s="59"/>
      <c r="K14" s="59"/>
      <c r="L14" s="59"/>
      <c r="M14" s="67" t="s">
        <v>185</v>
      </c>
      <c r="N14" s="250" t="s">
        <v>8</v>
      </c>
      <c r="O14" s="250"/>
      <c r="P14" s="250" t="s">
        <v>9</v>
      </c>
      <c r="Q14" s="250"/>
      <c r="R14" s="250" t="s">
        <v>10</v>
      </c>
      <c r="S14" s="250"/>
      <c r="T14" s="251" t="s">
        <v>11</v>
      </c>
      <c r="U14" s="59"/>
    </row>
    <row r="15" spans="2:22">
      <c r="B15" s="1" t="s">
        <v>190</v>
      </c>
      <c r="C15" s="6">
        <v>1</v>
      </c>
      <c r="D15" s="77"/>
      <c r="E15" s="59"/>
      <c r="G15" s="59"/>
      <c r="I15" s="59"/>
      <c r="J15" s="59"/>
      <c r="K15" s="59"/>
      <c r="L15" s="59"/>
      <c r="M15" s="71" t="s">
        <v>12</v>
      </c>
      <c r="N15" s="63">
        <v>10581</v>
      </c>
      <c r="O15" s="63">
        <f>Demand!J5</f>
        <v>0</v>
      </c>
      <c r="P15" s="63">
        <v>16042</v>
      </c>
      <c r="Q15" s="63">
        <f>Demand!K5</f>
        <v>0</v>
      </c>
      <c r="R15" s="63">
        <v>20476</v>
      </c>
      <c r="S15" s="63">
        <f>Demand!L5</f>
        <v>0</v>
      </c>
      <c r="T15" s="64">
        <v>30714</v>
      </c>
      <c r="U15" s="57">
        <f>Demand!M5</f>
        <v>0</v>
      </c>
      <c r="V15" s="54">
        <f>(N15*O15)+(P15*Q15)+(R15*S15)+(T15*U15)</f>
        <v>0</v>
      </c>
    </row>
    <row r="16" spans="2:22">
      <c r="B16" s="1" t="s">
        <v>191</v>
      </c>
      <c r="C16" s="6">
        <v>0.95</v>
      </c>
      <c r="D16" s="77"/>
      <c r="E16" s="59"/>
      <c r="G16" s="59"/>
      <c r="I16" s="59"/>
      <c r="J16" s="59"/>
      <c r="K16" s="59"/>
      <c r="L16" s="59"/>
      <c r="M16" s="72" t="s">
        <v>13</v>
      </c>
      <c r="N16" s="63">
        <v>9755</v>
      </c>
      <c r="O16" s="63">
        <f>Demand!J6</f>
        <v>0</v>
      </c>
      <c r="P16" s="63">
        <v>14640</v>
      </c>
      <c r="Q16" s="63">
        <f>Demand!K6</f>
        <v>0</v>
      </c>
      <c r="R16" s="63">
        <v>18652</v>
      </c>
      <c r="S16" s="63">
        <f>Demand!L6</f>
        <v>0</v>
      </c>
      <c r="T16" s="64">
        <v>27977</v>
      </c>
      <c r="U16" s="57">
        <f>Demand!M6</f>
        <v>0</v>
      </c>
      <c r="V16" s="54">
        <f t="shared" ref="V16:V22" si="2">(N16*O16)+(P16*Q16)+(R16*S16)+(T16*U16)</f>
        <v>0</v>
      </c>
    </row>
    <row r="17" spans="2:22">
      <c r="B17" s="1" t="s">
        <v>192</v>
      </c>
      <c r="C17" s="6">
        <v>0.82</v>
      </c>
      <c r="D17" s="77"/>
      <c r="E17" s="59"/>
      <c r="G17" s="59"/>
      <c r="I17" s="59"/>
      <c r="J17" s="59"/>
      <c r="K17" s="59"/>
      <c r="L17" s="59"/>
      <c r="M17" s="72" t="s">
        <v>14</v>
      </c>
      <c r="N17" s="63">
        <v>8994</v>
      </c>
      <c r="O17" s="63">
        <f>Demand!J7</f>
        <v>0</v>
      </c>
      <c r="P17" s="63">
        <v>13182</v>
      </c>
      <c r="Q17" s="63">
        <f>Demand!K7</f>
        <v>0</v>
      </c>
      <c r="R17" s="63">
        <v>16688</v>
      </c>
      <c r="S17" s="63">
        <f>Demand!L7</f>
        <v>0</v>
      </c>
      <c r="T17" s="64">
        <v>25033</v>
      </c>
      <c r="U17" s="57">
        <f>Demand!M7</f>
        <v>0</v>
      </c>
      <c r="V17" s="54">
        <f t="shared" si="2"/>
        <v>0</v>
      </c>
    </row>
    <row r="18" spans="2:22">
      <c r="B18" s="1" t="s">
        <v>193</v>
      </c>
      <c r="C18" s="6">
        <v>0.88</v>
      </c>
      <c r="D18" s="77"/>
      <c r="E18" s="59"/>
      <c r="G18" s="59"/>
      <c r="I18" s="59"/>
      <c r="J18" s="59"/>
      <c r="K18" s="59"/>
      <c r="L18" s="59"/>
      <c r="M18" s="72" t="s">
        <v>15</v>
      </c>
      <c r="N18" s="63">
        <v>8653</v>
      </c>
      <c r="O18" s="63">
        <f>Demand!J8</f>
        <v>0</v>
      </c>
      <c r="P18" s="63">
        <v>12710</v>
      </c>
      <c r="Q18" s="63">
        <f>Demand!K8</f>
        <v>0</v>
      </c>
      <c r="R18" s="63">
        <v>16065</v>
      </c>
      <c r="S18" s="63">
        <f>Demand!L8</f>
        <v>0</v>
      </c>
      <c r="T18" s="64">
        <v>24098</v>
      </c>
      <c r="U18" s="57">
        <f>Demand!M8</f>
        <v>0</v>
      </c>
      <c r="V18" s="54">
        <f t="shared" si="2"/>
        <v>0</v>
      </c>
    </row>
    <row r="19" spans="2:22">
      <c r="B19" s="1" t="s">
        <v>194</v>
      </c>
      <c r="C19" s="6">
        <v>1.03</v>
      </c>
      <c r="D19" s="77"/>
      <c r="E19" s="59"/>
      <c r="G19" s="59"/>
      <c r="I19" s="59"/>
      <c r="J19" s="59"/>
      <c r="K19" s="59"/>
      <c r="L19" s="59"/>
      <c r="M19" s="72" t="s">
        <v>16</v>
      </c>
      <c r="N19" s="63">
        <v>8101</v>
      </c>
      <c r="O19" s="63">
        <f>Demand!J9</f>
        <v>0</v>
      </c>
      <c r="P19" s="63">
        <v>11740</v>
      </c>
      <c r="Q19" s="63">
        <f>Demand!K9</f>
        <v>0</v>
      </c>
      <c r="R19" s="63">
        <v>14749</v>
      </c>
      <c r="S19" s="63">
        <f>Demand!L9</f>
        <v>0</v>
      </c>
      <c r="T19" s="64">
        <v>22123</v>
      </c>
      <c r="U19" s="57">
        <f>Demand!M9</f>
        <v>0</v>
      </c>
      <c r="V19" s="54">
        <f t="shared" si="2"/>
        <v>0</v>
      </c>
    </row>
    <row r="20" spans="2:22">
      <c r="B20" s="1" t="s">
        <v>195</v>
      </c>
      <c r="C20" s="6">
        <v>1.01</v>
      </c>
      <c r="D20" s="77"/>
      <c r="E20" s="59"/>
      <c r="G20" s="59"/>
      <c r="I20" s="59"/>
      <c r="J20" s="59"/>
      <c r="K20" s="59"/>
      <c r="L20" s="59"/>
      <c r="M20" s="72" t="s">
        <v>17</v>
      </c>
      <c r="N20" s="63">
        <v>8331</v>
      </c>
      <c r="O20" s="63">
        <f>Demand!J10</f>
        <v>0</v>
      </c>
      <c r="P20" s="63">
        <v>11989</v>
      </c>
      <c r="Q20" s="63">
        <f>Demand!K10</f>
        <v>0</v>
      </c>
      <c r="R20" s="63">
        <v>15072</v>
      </c>
      <c r="S20" s="63">
        <f>Demand!L10</f>
        <v>0</v>
      </c>
      <c r="T20" s="64">
        <v>22608</v>
      </c>
      <c r="U20" s="57">
        <f>Demand!M10</f>
        <v>0</v>
      </c>
      <c r="V20" s="54">
        <f t="shared" si="2"/>
        <v>0</v>
      </c>
    </row>
    <row r="21" spans="2:22">
      <c r="B21" s="1" t="s">
        <v>196</v>
      </c>
      <c r="C21" s="6">
        <v>1.1299999999999999</v>
      </c>
      <c r="D21" s="77"/>
      <c r="E21" s="59"/>
      <c r="G21" s="59"/>
      <c r="I21" s="59"/>
      <c r="J21" s="59"/>
      <c r="K21" s="59"/>
      <c r="L21" s="59"/>
      <c r="M21" s="72" t="s">
        <v>18</v>
      </c>
      <c r="N21" s="63">
        <v>6828</v>
      </c>
      <c r="O21" s="63">
        <f>Demand!J11</f>
        <v>0</v>
      </c>
      <c r="P21" s="63">
        <v>9479</v>
      </c>
      <c r="Q21" s="63">
        <f>Demand!K11</f>
        <v>0</v>
      </c>
      <c r="R21" s="63">
        <v>11728</v>
      </c>
      <c r="S21" s="63">
        <f>Demand!L11</f>
        <v>0</v>
      </c>
      <c r="T21" s="64">
        <v>17592</v>
      </c>
      <c r="U21" s="57">
        <f>Demand!M11</f>
        <v>0</v>
      </c>
      <c r="V21" s="54">
        <f t="shared" si="2"/>
        <v>0</v>
      </c>
    </row>
    <row r="22" spans="2:22" ht="15.75" thickBot="1">
      <c r="B22" s="1" t="s">
        <v>197</v>
      </c>
      <c r="C22" s="6">
        <v>1.1200000000000001</v>
      </c>
      <c r="D22" s="77"/>
      <c r="E22" s="59"/>
      <c r="G22" s="59"/>
      <c r="I22" s="59"/>
      <c r="J22" s="59"/>
      <c r="K22" s="59"/>
      <c r="L22" s="59"/>
      <c r="M22" s="68" t="s">
        <v>19</v>
      </c>
      <c r="N22" s="65">
        <v>6218</v>
      </c>
      <c r="O22" s="63">
        <f>Demand!J12</f>
        <v>0</v>
      </c>
      <c r="P22" s="65">
        <v>8371</v>
      </c>
      <c r="Q22" s="63">
        <f>Demand!K12</f>
        <v>0</v>
      </c>
      <c r="R22" s="65">
        <v>10306</v>
      </c>
      <c r="S22" s="63">
        <f>Demand!L12</f>
        <v>0</v>
      </c>
      <c r="T22" s="66">
        <v>15459</v>
      </c>
      <c r="U22" s="57">
        <f>Demand!M12</f>
        <v>0</v>
      </c>
      <c r="V22" s="54">
        <f t="shared" si="2"/>
        <v>0</v>
      </c>
    </row>
    <row r="23" spans="2:22" ht="15.75" thickBot="1">
      <c r="B23" s="1" t="s">
        <v>198</v>
      </c>
      <c r="C23" s="6">
        <v>1.1100000000000001</v>
      </c>
      <c r="D23" s="77"/>
      <c r="E23" s="59"/>
      <c r="G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5">
        <f>SUM(V15:V22)</f>
        <v>0</v>
      </c>
    </row>
    <row r="24" spans="2:22">
      <c r="B24" s="1" t="s">
        <v>199</v>
      </c>
      <c r="C24" s="6">
        <v>1.02</v>
      </c>
      <c r="D24" s="77"/>
      <c r="E24" s="59"/>
      <c r="G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</row>
    <row r="25" spans="2:22">
      <c r="B25" s="1" t="s">
        <v>200</v>
      </c>
      <c r="C25" s="6">
        <v>1.04</v>
      </c>
      <c r="D25" s="77"/>
      <c r="E25" s="59"/>
      <c r="G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  <row r="26" spans="2:22">
      <c r="B26" s="1" t="s">
        <v>35</v>
      </c>
      <c r="C26" s="6">
        <v>1.1200000000000001</v>
      </c>
      <c r="D26" s="77"/>
      <c r="E26" s="59"/>
      <c r="G26" s="59"/>
      <c r="I26" s="61"/>
      <c r="J26" s="61"/>
      <c r="K26" s="61"/>
      <c r="L26" s="59"/>
      <c r="M26" s="59"/>
      <c r="N26" s="59"/>
      <c r="O26" s="59"/>
      <c r="P26" s="59"/>
      <c r="Q26" s="59"/>
      <c r="R26" s="59"/>
      <c r="S26" s="59"/>
      <c r="T26" s="59"/>
      <c r="U26" s="59"/>
    </row>
    <row r="27" spans="2:22">
      <c r="B27" s="1" t="s">
        <v>201</v>
      </c>
      <c r="C27" s="6">
        <v>1.1200000000000001</v>
      </c>
      <c r="D27" s="77"/>
      <c r="E27" s="59"/>
      <c r="G27" s="59"/>
      <c r="I27" s="61"/>
      <c r="J27" s="10"/>
      <c r="K27" s="61"/>
      <c r="L27" s="59"/>
      <c r="M27" s="59"/>
      <c r="N27" s="59"/>
      <c r="O27" s="59"/>
      <c r="P27" s="59"/>
      <c r="Q27" s="59"/>
      <c r="R27" s="59"/>
      <c r="S27" s="59"/>
      <c r="T27" s="59"/>
      <c r="U27" s="59"/>
    </row>
    <row r="28" spans="2:22">
      <c r="B28" s="1" t="s">
        <v>198</v>
      </c>
      <c r="C28" s="6">
        <v>1.1200000000000001</v>
      </c>
      <c r="D28" s="77"/>
      <c r="E28" s="59"/>
      <c r="G28" s="59"/>
      <c r="I28" s="61"/>
      <c r="J28" s="10"/>
      <c r="K28" s="61"/>
      <c r="L28" s="59"/>
      <c r="M28" s="59"/>
      <c r="N28" s="59"/>
      <c r="O28" s="59"/>
      <c r="P28" s="59"/>
      <c r="Q28" s="59"/>
      <c r="R28" s="59"/>
      <c r="S28" s="59"/>
      <c r="T28" s="59"/>
      <c r="U28" s="59"/>
    </row>
    <row r="29" spans="2:22">
      <c r="B29" s="1" t="s">
        <v>202</v>
      </c>
      <c r="C29" s="6">
        <v>0.97</v>
      </c>
      <c r="D29" s="77"/>
      <c r="E29" s="59"/>
      <c r="G29" s="59"/>
      <c r="I29" s="61"/>
      <c r="J29" s="61"/>
      <c r="K29" s="61"/>
      <c r="L29" s="61"/>
      <c r="M29" s="61"/>
      <c r="N29" s="59"/>
      <c r="O29" s="59"/>
      <c r="P29" s="59"/>
      <c r="Q29" s="59"/>
      <c r="R29" s="59"/>
      <c r="S29" s="59"/>
      <c r="T29" s="59"/>
      <c r="U29" s="59"/>
    </row>
    <row r="30" spans="2:22">
      <c r="B30" s="1" t="s">
        <v>203</v>
      </c>
      <c r="C30" s="6">
        <v>1.07</v>
      </c>
      <c r="D30" s="77"/>
      <c r="E30" s="59"/>
      <c r="G30" s="59"/>
      <c r="I30" s="61"/>
      <c r="J30" s="11"/>
      <c r="K30" s="61"/>
      <c r="L30" s="59"/>
      <c r="M30" s="61"/>
      <c r="N30" s="59"/>
      <c r="O30" s="61" t="s">
        <v>204</v>
      </c>
      <c r="P30" s="59" t="s">
        <v>205</v>
      </c>
      <c r="Q30" s="59" t="s">
        <v>206</v>
      </c>
      <c r="R30" s="59"/>
      <c r="S30" s="59"/>
      <c r="T30" s="59"/>
      <c r="U30" s="59"/>
    </row>
    <row r="31" spans="2:22" ht="15.75" thickBot="1">
      <c r="B31" s="2" t="s">
        <v>207</v>
      </c>
      <c r="C31" s="9">
        <v>1.1200000000000001</v>
      </c>
      <c r="D31" s="77"/>
      <c r="E31" s="59"/>
      <c r="G31" s="59"/>
      <c r="I31" s="61"/>
      <c r="J31" s="11"/>
      <c r="K31" s="61"/>
      <c r="L31" s="59"/>
      <c r="M31" s="61"/>
      <c r="N31" s="59" t="s">
        <v>208</v>
      </c>
      <c r="O31" s="61">
        <v>7.2</v>
      </c>
      <c r="P31" s="59">
        <f>O31/100</f>
        <v>7.2000000000000008E-2</v>
      </c>
      <c r="Q31" s="59">
        <f>P31/293.2972222</f>
        <v>2.4548476613564057E-4</v>
      </c>
      <c r="R31" s="59"/>
      <c r="S31" s="59"/>
      <c r="T31" s="59"/>
      <c r="U31" s="59"/>
    </row>
    <row r="32" spans="2:22">
      <c r="B32" s="59"/>
      <c r="C32" s="59"/>
      <c r="E32" s="59"/>
      <c r="G32" s="59"/>
      <c r="I32" s="59"/>
      <c r="J32" s="59"/>
      <c r="K32" s="59"/>
      <c r="L32" s="59"/>
      <c r="M32" s="61"/>
      <c r="N32" s="59" t="s">
        <v>209</v>
      </c>
      <c r="O32" s="61">
        <v>3.6</v>
      </c>
      <c r="P32" s="59">
        <f>O32/100</f>
        <v>3.6000000000000004E-2</v>
      </c>
      <c r="Q32" s="59">
        <f>P32/293.2972222</f>
        <v>1.2274238306782029E-4</v>
      </c>
      <c r="R32" s="59"/>
      <c r="S32" s="59"/>
      <c r="T32" s="59"/>
      <c r="U32" s="59"/>
    </row>
    <row r="33" spans="1:13">
      <c r="A33" s="59"/>
      <c r="B33" s="59"/>
      <c r="C33" s="59"/>
      <c r="E33" s="59"/>
      <c r="G33" s="59"/>
      <c r="I33" s="59"/>
      <c r="J33" s="59"/>
      <c r="K33" s="59"/>
      <c r="L33" s="61"/>
      <c r="M33" s="61"/>
    </row>
    <row r="34" spans="1:13">
      <c r="A34" s="59"/>
      <c r="B34" s="59"/>
      <c r="C34" s="59"/>
      <c r="E34" s="59"/>
      <c r="G34" s="59"/>
      <c r="I34" s="59"/>
      <c r="J34" s="59"/>
      <c r="K34" s="59"/>
      <c r="L34" s="61"/>
      <c r="M34" s="61"/>
    </row>
    <row r="35" spans="1:13">
      <c r="A35" s="59"/>
      <c r="B35" s="59"/>
      <c r="C35" s="59"/>
      <c r="E35" s="59"/>
      <c r="G35" s="59"/>
      <c r="I35" s="61"/>
      <c r="J35" s="61"/>
      <c r="K35" s="61"/>
      <c r="L35" s="61"/>
      <c r="M35" s="61"/>
    </row>
    <row r="36" spans="1:13">
      <c r="A36" s="59"/>
      <c r="B36" s="59"/>
      <c r="C36" s="59"/>
      <c r="E36" s="59"/>
      <c r="G36" s="59"/>
      <c r="I36" s="61"/>
      <c r="J36" s="61"/>
      <c r="K36" s="61"/>
      <c r="L36" s="61"/>
      <c r="M36" s="61"/>
    </row>
    <row r="37" spans="1:13">
      <c r="A37" s="59"/>
      <c r="B37" s="59"/>
      <c r="C37" s="59"/>
      <c r="E37" s="59"/>
      <c r="G37" s="59"/>
      <c r="I37" s="70"/>
      <c r="J37" s="70"/>
      <c r="K37" s="70"/>
      <c r="L37" s="70"/>
      <c r="M37" s="70"/>
    </row>
    <row r="38" spans="1:13">
      <c r="A38" s="69" t="s">
        <v>210</v>
      </c>
      <c r="B38" s="59"/>
      <c r="C38" s="59"/>
      <c r="E38" s="59"/>
      <c r="G38" s="59"/>
      <c r="I38" s="59"/>
      <c r="J38" s="59"/>
      <c r="K38" s="59"/>
      <c r="L38" s="59"/>
      <c r="M38" s="59"/>
    </row>
    <row r="39" spans="1:13">
      <c r="A39" s="69" t="s">
        <v>211</v>
      </c>
      <c r="B39" s="59"/>
      <c r="C39" s="59"/>
      <c r="E39" s="59"/>
      <c r="G39" s="59"/>
      <c r="I39" s="59"/>
      <c r="J39" s="59"/>
      <c r="K39" s="59"/>
      <c r="L39" s="59"/>
      <c r="M39" s="59"/>
    </row>
    <row r="40" spans="1:13">
      <c r="A40" s="69" t="s">
        <v>212</v>
      </c>
      <c r="B40" s="59"/>
      <c r="C40" s="59"/>
      <c r="E40" s="59"/>
      <c r="G40" s="59"/>
      <c r="I40" s="59"/>
      <c r="J40" s="59"/>
      <c r="K40" s="59"/>
      <c r="L40" s="59"/>
      <c r="M40" s="59"/>
    </row>
    <row r="44" spans="1:13" ht="15.75" thickBot="1">
      <c r="A44" s="59"/>
      <c r="B44" s="59"/>
      <c r="C44" s="59"/>
      <c r="E44" s="59"/>
      <c r="G44" s="59"/>
      <c r="I44" s="59"/>
      <c r="J44" s="59"/>
      <c r="K44" s="59"/>
      <c r="L44" s="59"/>
      <c r="M44" s="59"/>
    </row>
    <row r="45" spans="1:13" ht="15.75" thickBot="1">
      <c r="A45" s="59"/>
      <c r="B45" s="299" t="s">
        <v>213</v>
      </c>
      <c r="C45" s="301"/>
      <c r="D45" s="59" t="s">
        <v>214</v>
      </c>
      <c r="E45" s="59" t="s">
        <v>215</v>
      </c>
      <c r="F45" s="59" t="s">
        <v>216</v>
      </c>
      <c r="G45" s="59"/>
      <c r="I45" s="59"/>
      <c r="J45" s="59"/>
      <c r="K45" s="59"/>
      <c r="L45" s="59"/>
      <c r="M45" s="59"/>
    </row>
    <row r="46" spans="1:13">
      <c r="A46" s="59"/>
      <c r="B46" s="12" t="s">
        <v>22</v>
      </c>
      <c r="C46" s="13">
        <v>150</v>
      </c>
      <c r="D46" s="59">
        <f>C46*Demand!B14</f>
        <v>0</v>
      </c>
      <c r="E46" s="59">
        <f>C46*Demand!F14</f>
        <v>0</v>
      </c>
      <c r="F46" s="59">
        <f>C46*Demand!J14</f>
        <v>0</v>
      </c>
      <c r="G46" s="59"/>
      <c r="I46" s="59"/>
      <c r="J46" s="59"/>
      <c r="K46" s="59"/>
      <c r="L46" s="59"/>
      <c r="M46" s="59"/>
    </row>
    <row r="47" spans="1:13">
      <c r="A47" s="59"/>
      <c r="B47" s="3" t="s">
        <v>23</v>
      </c>
      <c r="C47" s="4">
        <v>174</v>
      </c>
      <c r="D47" s="59">
        <f>C47*Demand!B15</f>
        <v>0</v>
      </c>
      <c r="E47" s="59">
        <f>C47*Demand!F15</f>
        <v>0</v>
      </c>
      <c r="F47" s="59">
        <f>C47*Demand!J15</f>
        <v>0</v>
      </c>
      <c r="G47" s="59"/>
      <c r="I47" s="59"/>
      <c r="J47" s="59"/>
      <c r="K47" s="59"/>
      <c r="L47" s="59"/>
      <c r="M47" s="59"/>
    </row>
    <row r="48" spans="1:13">
      <c r="A48" s="59"/>
      <c r="B48" s="3" t="s">
        <v>24</v>
      </c>
      <c r="C48" s="4">
        <v>410</v>
      </c>
      <c r="D48" s="59">
        <f>C48*Demand!B16</f>
        <v>0</v>
      </c>
      <c r="E48" s="59">
        <f>C48*Demand!F16</f>
        <v>0</v>
      </c>
      <c r="F48" s="59">
        <f>C48*Demand!J16</f>
        <v>0</v>
      </c>
      <c r="G48" s="59"/>
      <c r="I48" s="59"/>
      <c r="J48" s="59"/>
      <c r="K48" s="59"/>
      <c r="L48" s="59"/>
      <c r="M48" s="59"/>
    </row>
    <row r="49" spans="2:6">
      <c r="B49" s="3" t="s">
        <v>25</v>
      </c>
      <c r="C49" s="5">
        <v>185</v>
      </c>
      <c r="D49" s="59">
        <f>C49*Demand!B17</f>
        <v>0</v>
      </c>
      <c r="E49" s="59">
        <f>C49*Demand!F17</f>
        <v>0</v>
      </c>
      <c r="F49" s="59">
        <f>C49*Demand!J17</f>
        <v>0</v>
      </c>
    </row>
    <row r="50" spans="2:6">
      <c r="B50" s="3" t="s">
        <v>26</v>
      </c>
      <c r="C50" s="4">
        <v>175</v>
      </c>
      <c r="D50" s="59">
        <f>C50*Demand!B18</f>
        <v>0</v>
      </c>
      <c r="E50" s="59">
        <f>C50*Demand!F18</f>
        <v>0</v>
      </c>
      <c r="F50" s="59">
        <f>C50*Demand!J18</f>
        <v>0</v>
      </c>
    </row>
    <row r="51" spans="2:6">
      <c r="B51" s="3" t="s">
        <v>27</v>
      </c>
      <c r="C51" s="4">
        <v>190</v>
      </c>
      <c r="D51" s="59">
        <f>C51*Demand!B19</f>
        <v>0</v>
      </c>
      <c r="E51" s="59">
        <f>C51*Demand!F19</f>
        <v>0</v>
      </c>
      <c r="F51" s="59">
        <f>C51*Demand!J19</f>
        <v>0</v>
      </c>
    </row>
    <row r="52" spans="2:6">
      <c r="B52" s="3" t="s">
        <v>28</v>
      </c>
      <c r="C52" s="4">
        <v>160</v>
      </c>
      <c r="D52" s="59">
        <f>C52*Demand!B20</f>
        <v>0</v>
      </c>
      <c r="E52" s="59">
        <f>C52*Demand!F20</f>
        <v>0</v>
      </c>
      <c r="F52" s="59">
        <f>C52*Demand!J20</f>
        <v>0</v>
      </c>
    </row>
    <row r="53" spans="2:6">
      <c r="B53" s="3" t="s">
        <v>29</v>
      </c>
      <c r="C53" s="4">
        <v>400</v>
      </c>
      <c r="D53" s="59">
        <f>C53*Demand!B21</f>
        <v>0</v>
      </c>
      <c r="E53" s="59">
        <f>C53*Demand!F21</f>
        <v>0</v>
      </c>
      <c r="F53" s="59">
        <f>C53*Demand!J21</f>
        <v>0</v>
      </c>
    </row>
    <row r="54" spans="2:6">
      <c r="B54" s="3" t="s">
        <v>30</v>
      </c>
      <c r="C54" s="4">
        <v>260</v>
      </c>
      <c r="D54" s="59">
        <f>C54*Demand!B22</f>
        <v>0</v>
      </c>
      <c r="E54" s="59">
        <f>C54*Demand!F22</f>
        <v>0</v>
      </c>
      <c r="F54" s="59">
        <f>C54*Demand!J22</f>
        <v>0</v>
      </c>
    </row>
    <row r="55" spans="2:6">
      <c r="B55" s="3" t="s">
        <v>31</v>
      </c>
      <c r="C55" s="4">
        <v>1100</v>
      </c>
      <c r="D55" s="59">
        <f>C55*Demand!B23</f>
        <v>0</v>
      </c>
      <c r="E55" s="59">
        <f>C55*Demand!F23</f>
        <v>0</v>
      </c>
      <c r="F55" s="59">
        <f>C55*Demand!J23</f>
        <v>0</v>
      </c>
    </row>
    <row r="56" spans="2:6" ht="15.75" thickBot="1">
      <c r="B56" s="7" t="s">
        <v>32</v>
      </c>
      <c r="C56" s="8">
        <v>200</v>
      </c>
      <c r="D56" s="59">
        <f>C56*Demand!B24</f>
        <v>0</v>
      </c>
      <c r="E56" s="59">
        <f>C56*Demand!F24</f>
        <v>0</v>
      </c>
      <c r="F56" s="59">
        <f>C56*Demand!J24</f>
        <v>0</v>
      </c>
    </row>
    <row r="57" spans="2:6" ht="15.75" thickBot="1">
      <c r="B57" s="59"/>
      <c r="C57" s="59"/>
      <c r="D57" s="55">
        <f>SUM(D46:D56)</f>
        <v>0</v>
      </c>
      <c r="E57" s="55">
        <f t="shared" ref="E57:F57" si="3">SUM(E46:E56)</f>
        <v>0</v>
      </c>
      <c r="F57" s="56">
        <f t="shared" si="3"/>
        <v>0</v>
      </c>
    </row>
  </sheetData>
  <sheetProtection password="DC2F" sheet="1" objects="1" scenarios="1"/>
  <mergeCells count="5">
    <mergeCell ref="B1:I1"/>
    <mergeCell ref="B12:C12"/>
    <mergeCell ref="B45:C45"/>
    <mergeCell ref="M1:T1"/>
    <mergeCell ref="M13:T13"/>
  </mergeCells>
  <dataValidations count="2">
    <dataValidation type="list" allowBlank="1" showInputMessage="1" showErrorMessage="1" sqref="K30">
      <formula1>#REF!</formula1>
    </dataValidation>
    <dataValidation type="list" allowBlank="1" showInputMessage="1" showErrorMessage="1" sqref="K31">
      <formula1>#REF!</formula1>
    </dataValidation>
  </dataValidations>
  <hyperlinks>
    <hyperlink ref="A38" r:id="rId1"/>
    <hyperlink ref="A39" r:id="rId2"/>
    <hyperlink ref="A40" r:id="rId3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E9C6C524E344599CE213357AB4158" ma:contentTypeVersion="2" ma:contentTypeDescription="Create a new document." ma:contentTypeScope="" ma:versionID="506e6318c9afd45cd2d7c013588bc186">
  <xsd:schema xmlns:xsd="http://www.w3.org/2001/XMLSchema" xmlns:xs="http://www.w3.org/2001/XMLSchema" xmlns:p="http://schemas.microsoft.com/office/2006/metadata/properties" xmlns:ns2="cfc44948-0199-4292-992f-5a07c2b87a30" targetNamespace="http://schemas.microsoft.com/office/2006/metadata/properties" ma:root="true" ma:fieldsID="c9e25d3432d718163da0045554b9a408" ns2:_="">
    <xsd:import namespace="cfc44948-0199-4292-992f-5a07c2b87a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44948-0199-4292-992f-5a07c2b87a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C9CE8A-FF6A-458D-A068-D0C4EB6C6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44948-0199-4292-992f-5a07c2b87a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981A33-DD4F-4989-A4B4-97407C71371D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fc44948-0199-4292-992f-5a07c2b87a30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080187-2C23-4DD1-8BDE-45CE7CB1F4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User Guide</vt:lpstr>
      <vt:lpstr>Demand</vt:lpstr>
      <vt:lpstr>Cost</vt:lpstr>
      <vt:lpstr>Emissions</vt:lpstr>
      <vt:lpstr>Efficiencies</vt:lpstr>
      <vt:lpstr>Output Matrix</vt:lpstr>
      <vt:lpstr>ExergyData</vt:lpstr>
      <vt:lpstr>Cost Data</vt:lpstr>
      <vt:lpstr>Demand Data</vt:lpstr>
      <vt:lpstr>boilertypes</vt:lpstr>
      <vt:lpstr>boilmain</vt:lpstr>
      <vt:lpstr>CHPMain</vt:lpstr>
      <vt:lpstr>chpmaint</vt:lpstr>
      <vt:lpstr>Districts</vt:lpstr>
      <vt:lpstr>Efficiencies</vt:lpstr>
      <vt:lpstr>efficiency</vt:lpstr>
      <vt:lpstr>eleccost</vt:lpstr>
      <vt:lpstr>energyindex</vt:lpstr>
      <vt:lpstr>energymix</vt:lpstr>
      <vt:lpstr>etable</vt:lpstr>
      <vt:lpstr>gascost</vt:lpstr>
      <vt:lpstr>Index</vt:lpstr>
      <vt:lpstr>Region</vt:lpstr>
      <vt:lpstr>regionals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θανασης</dc:creator>
  <cp:keywords/>
  <dc:description/>
  <cp:lastModifiedBy>Michael</cp:lastModifiedBy>
  <cp:revision/>
  <dcterms:created xsi:type="dcterms:W3CDTF">2015-03-15T22:15:04Z</dcterms:created>
  <dcterms:modified xsi:type="dcterms:W3CDTF">2015-05-04T19:20:15Z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0x010100CF7E9C6C524E344599CE213357AB4158</vt:lpwstr>
  </property>
</Properties>
</file>